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6.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5480" windowHeight="8580" tabRatio="853" activeTab="1"/>
  </bookViews>
  <sheets>
    <sheet name="Kalend" sheetId="2" r:id="rId1"/>
    <sheet name="Kal E" sheetId="3" r:id="rId2"/>
    <sheet name="Reit" sheetId="4" r:id="rId3"/>
    <sheet name="A" sheetId="24" r:id="rId4"/>
    <sheet name="1" sheetId="21" r:id="rId5"/>
    <sheet name="2" sheetId="25" r:id="rId6"/>
    <sheet name="3" sheetId="27" r:id="rId7"/>
    <sheet name="4" sheetId="26" r:id="rId8"/>
    <sheet name="5" sheetId="29" r:id="rId9"/>
    <sheet name="KJ" sheetId="10" r:id="rId10"/>
    <sheet name="6" sheetId="32" r:id="rId11"/>
    <sheet name="7" sheetId="28" r:id="rId12"/>
    <sheet name="8" sheetId="34" r:id="rId13"/>
    <sheet name="9" sheetId="31" r:id="rId14"/>
    <sheet name="10" sheetId="33" r:id="rId15"/>
    <sheet name="11" sheetId="30" r:id="rId16"/>
    <sheet name="12" sheetId="35" r:id="rId17"/>
    <sheet name="13" sheetId="36" r:id="rId18"/>
    <sheet name="14" sheetId="37" r:id="rId19"/>
    <sheet name="V" sheetId="5" r:id="rId20"/>
    <sheet name="V1" sheetId="20" r:id="rId21"/>
    <sheet name="V2" sheetId="11" r:id="rId22"/>
    <sheet name="V3" sheetId="12" r:id="rId23"/>
    <sheet name="V4" sheetId="13" r:id="rId24"/>
    <sheet name="V5" sheetId="14" r:id="rId25"/>
    <sheet name="V6" sheetId="15" r:id="rId26"/>
    <sheet name="V7" sheetId="16" r:id="rId27"/>
    <sheet name="V8" sheetId="17" r:id="rId28"/>
    <sheet name="V9" sheetId="18" r:id="rId29"/>
    <sheet name="V10" sheetId="19" r:id="rId30"/>
    <sheet name="V-fin" sheetId="38" r:id="rId31"/>
    <sheet name="templ" sheetId="1" r:id="rId32"/>
    <sheet name="swiss-v" sheetId="9" r:id="rId33"/>
    <sheet name="swiss-k" sheetId="23" r:id="rId34"/>
    <sheet name="ETAPP" sheetId="6" r:id="rId35"/>
    <sheet name="PIV" sheetId="7" r:id="rId36"/>
    <sheet name="PVO" sheetId="8" r:id="rId37"/>
  </sheets>
  <definedNames>
    <definedName name="_xlnm._FilterDatabase" localSheetId="9" hidden="1">KJ!$S$6:$U$6</definedName>
    <definedName name="_xlnm._FilterDatabase" localSheetId="2" hidden="1">Reit!$AD$7:$AF$7</definedName>
    <definedName name="_xlnm._FilterDatabase" localSheetId="19" hidden="1">V!$AN$6:$AP$6</definedName>
    <definedName name="_xlnm.Print_Area" localSheetId="19">V!$A$1:$AP$64</definedName>
    <definedName name="_xlnm.Print_Titles" localSheetId="1">'Kal E'!$1:$3</definedName>
    <definedName name="_xlnm.Print_Titles" localSheetId="0">Kalend!$1:$3</definedName>
    <definedName name="_xlnm.Print_Titles" localSheetId="2">Reit!$1:$7</definedName>
    <definedName name="_xlnm.Print_Titles" localSheetId="19">V!$1:$6</definedName>
  </definedNames>
  <calcPr calcId="145621"/>
</workbook>
</file>

<file path=xl/calcChain.xml><?xml version="1.0" encoding="utf-8"?>
<calcChain xmlns="http://schemas.openxmlformats.org/spreadsheetml/2006/main">
  <c r="K75" i="3" l="1"/>
  <c r="K35" i="3" l="1"/>
  <c r="K30" i="3" l="1"/>
  <c r="M58" i="3" l="1"/>
  <c r="AI7" i="5" l="1"/>
  <c r="AI8" i="5"/>
  <c r="AI9" i="5"/>
  <c r="AI10" i="5"/>
  <c r="AI11" i="5"/>
  <c r="AI12" i="5"/>
  <c r="AI13" i="5"/>
  <c r="AI14" i="5"/>
  <c r="AI15" i="5"/>
  <c r="AI16" i="5"/>
  <c r="AI17" i="5"/>
  <c r="AI18" i="5"/>
  <c r="AI19" i="5"/>
  <c r="AI20" i="5"/>
  <c r="AI21" i="5"/>
  <c r="AI22" i="5"/>
  <c r="AI23" i="5"/>
  <c r="AI24" i="5"/>
  <c r="AI25" i="5"/>
  <c r="AI26" i="5"/>
  <c r="AI27" i="5"/>
  <c r="AI28" i="5"/>
  <c r="AI29" i="5"/>
  <c r="AI30" i="5"/>
  <c r="AI31" i="5"/>
  <c r="AI32" i="5"/>
  <c r="AI33" i="5"/>
  <c r="AI34" i="5"/>
  <c r="AI35" i="5"/>
  <c r="AI36" i="5"/>
  <c r="AI37" i="5"/>
  <c r="AI38" i="5"/>
  <c r="AI39" i="5"/>
  <c r="AI40" i="5"/>
  <c r="AI41" i="5"/>
  <c r="AI42" i="5"/>
  <c r="AI43" i="5"/>
  <c r="AI44" i="5"/>
  <c r="AI45" i="5"/>
  <c r="AI46" i="5"/>
  <c r="AI47" i="5"/>
  <c r="AI48" i="5"/>
  <c r="AI49" i="5"/>
  <c r="AI50" i="5"/>
  <c r="AI51" i="5"/>
  <c r="AI52" i="5"/>
  <c r="AI53" i="5"/>
  <c r="AI54" i="5"/>
  <c r="AI55" i="5"/>
  <c r="AI56" i="5"/>
  <c r="AI57" i="5"/>
  <c r="AI58" i="5"/>
  <c r="AI59" i="5"/>
  <c r="AI60" i="5"/>
  <c r="AI61" i="5"/>
  <c r="AI62" i="5"/>
  <c r="I32" i="29" l="1"/>
  <c r="I31" i="29"/>
  <c r="I30" i="29"/>
  <c r="I29" i="29"/>
  <c r="I28" i="29"/>
  <c r="I25" i="29"/>
  <c r="I24" i="29"/>
  <c r="I23" i="29"/>
  <c r="I22" i="29"/>
  <c r="I21" i="29"/>
  <c r="M19" i="3" l="1"/>
  <c r="K19" i="3"/>
  <c r="K4" i="3" l="1"/>
  <c r="AM8" i="5" l="1"/>
  <c r="AM9" i="5"/>
  <c r="AM10" i="5"/>
  <c r="AM11" i="5"/>
  <c r="AM12" i="5"/>
  <c r="AM13" i="5"/>
  <c r="AM14" i="5"/>
  <c r="AM15" i="5"/>
  <c r="AM16" i="5"/>
  <c r="AM17" i="5"/>
  <c r="AM18" i="5"/>
  <c r="AM19" i="5"/>
  <c r="AM20" i="5"/>
  <c r="AM21" i="5"/>
  <c r="AM22" i="5"/>
  <c r="AM23" i="5"/>
  <c r="AM24" i="5"/>
  <c r="AM25" i="5"/>
  <c r="AM26" i="5"/>
  <c r="AM27" i="5"/>
  <c r="AM28" i="5"/>
  <c r="AM29" i="5"/>
  <c r="AM30" i="5"/>
  <c r="AM31" i="5"/>
  <c r="AM32" i="5"/>
  <c r="AM33" i="5"/>
  <c r="AM34" i="5"/>
  <c r="AM35" i="5"/>
  <c r="AM36" i="5"/>
  <c r="AM37" i="5"/>
  <c r="AM38" i="5"/>
  <c r="AM39" i="5"/>
  <c r="AM40" i="5"/>
  <c r="AM41" i="5"/>
  <c r="AM42" i="5"/>
  <c r="AM43" i="5"/>
  <c r="AM44" i="5"/>
  <c r="AM45" i="5"/>
  <c r="AM46" i="5"/>
  <c r="AM47" i="5"/>
  <c r="AM48" i="5"/>
  <c r="AM49" i="5"/>
  <c r="AM50" i="5"/>
  <c r="AM51" i="5"/>
  <c r="AM52" i="5"/>
  <c r="AM53" i="5"/>
  <c r="AM54" i="5"/>
  <c r="AM55" i="5"/>
  <c r="AM56" i="5"/>
  <c r="AM57" i="5"/>
  <c r="AM58" i="5"/>
  <c r="AM59" i="5"/>
  <c r="AM60" i="5"/>
  <c r="AM61" i="5"/>
  <c r="AM62" i="5"/>
  <c r="AM7" i="5"/>
  <c r="B324" i="38"/>
  <c r="C324" i="38"/>
  <c r="B325" i="38"/>
  <c r="C325" i="38"/>
  <c r="B326" i="38"/>
  <c r="C326" i="38"/>
  <c r="B327" i="38"/>
  <c r="C327" i="38"/>
  <c r="AE32" i="38"/>
  <c r="AE33" i="38"/>
  <c r="AE34" i="38"/>
  <c r="AE35" i="38"/>
  <c r="AE31" i="38"/>
  <c r="AE30" i="38"/>
  <c r="AE29" i="38"/>
  <c r="AE28" i="38"/>
  <c r="AE27" i="38"/>
  <c r="AE26" i="38"/>
  <c r="AE25" i="38"/>
  <c r="AE24" i="38"/>
  <c r="AE23" i="38"/>
  <c r="AE22" i="38"/>
  <c r="AE21" i="38"/>
  <c r="AE20" i="38"/>
  <c r="AE19" i="38"/>
  <c r="AE18" i="38"/>
  <c r="AE17" i="38"/>
  <c r="AE16" i="38"/>
  <c r="AE15" i="38"/>
  <c r="AE14" i="38"/>
  <c r="AE13" i="38"/>
  <c r="AE12" i="38"/>
  <c r="AE11" i="38"/>
  <c r="AE10" i="38"/>
  <c r="AE9" i="38"/>
  <c r="AE8" i="38"/>
  <c r="W32" i="38"/>
  <c r="Y32" i="38"/>
  <c r="AA32" i="38"/>
  <c r="AB32" i="38" s="1"/>
  <c r="W33" i="38"/>
  <c r="Y33" i="38"/>
  <c r="AA33" i="38"/>
  <c r="AB33" i="38"/>
  <c r="W34" i="38"/>
  <c r="Y34" i="38"/>
  <c r="AA34" i="38"/>
  <c r="W35" i="38"/>
  <c r="Y35" i="38"/>
  <c r="AA35" i="38"/>
  <c r="AB35" i="38" s="1"/>
  <c r="C323" i="38"/>
  <c r="B323" i="38"/>
  <c r="C322" i="38"/>
  <c r="B322" i="38"/>
  <c r="C321" i="38"/>
  <c r="B321" i="38"/>
  <c r="C320" i="38"/>
  <c r="B320" i="38"/>
  <c r="C319" i="38"/>
  <c r="B319" i="38"/>
  <c r="C318" i="38"/>
  <c r="B318" i="38"/>
  <c r="C317" i="38"/>
  <c r="B317" i="38"/>
  <c r="C316" i="38"/>
  <c r="B316" i="38"/>
  <c r="C315" i="38"/>
  <c r="B315" i="38"/>
  <c r="C314" i="38"/>
  <c r="B314" i="38"/>
  <c r="C313" i="38"/>
  <c r="B313" i="38"/>
  <c r="C312" i="38"/>
  <c r="B312" i="38"/>
  <c r="C311" i="38"/>
  <c r="B311" i="38"/>
  <c r="C310" i="38"/>
  <c r="B310" i="38"/>
  <c r="C309" i="38"/>
  <c r="B309" i="38"/>
  <c r="C308" i="38"/>
  <c r="B308" i="38"/>
  <c r="C307" i="38"/>
  <c r="B307" i="38"/>
  <c r="C306" i="38"/>
  <c r="B306" i="38"/>
  <c r="C305" i="38"/>
  <c r="B305" i="38"/>
  <c r="C304" i="38"/>
  <c r="B304" i="38"/>
  <c r="C303" i="38"/>
  <c r="B303" i="38"/>
  <c r="C302" i="38"/>
  <c r="B302" i="38"/>
  <c r="C301" i="38"/>
  <c r="B301" i="38"/>
  <c r="C300" i="38"/>
  <c r="B300" i="38"/>
  <c r="AA31" i="38"/>
  <c r="Y31" i="38"/>
  <c r="AB31" i="38" s="1"/>
  <c r="W31" i="38"/>
  <c r="AA30" i="38"/>
  <c r="Y30" i="38"/>
  <c r="W30" i="38"/>
  <c r="AA29" i="38"/>
  <c r="Y29" i="38"/>
  <c r="AB29" i="38" s="1"/>
  <c r="W29" i="38"/>
  <c r="AA28" i="38"/>
  <c r="Y28" i="38"/>
  <c r="W28" i="38"/>
  <c r="AA27" i="38"/>
  <c r="Y27" i="38"/>
  <c r="AB27" i="38" s="1"/>
  <c r="W27" i="38"/>
  <c r="AA26" i="38"/>
  <c r="Y26" i="38"/>
  <c r="W26" i="38"/>
  <c r="AA25" i="38"/>
  <c r="Y25" i="38"/>
  <c r="AB25" i="38" s="1"/>
  <c r="W25" i="38"/>
  <c r="AA24" i="38"/>
  <c r="Y24" i="38"/>
  <c r="W24" i="38"/>
  <c r="AA23" i="38"/>
  <c r="Y23" i="38"/>
  <c r="AB23" i="38" s="1"/>
  <c r="W23" i="38"/>
  <c r="AA22" i="38"/>
  <c r="Y22" i="38"/>
  <c r="W22" i="38"/>
  <c r="AA21" i="38"/>
  <c r="Y21" i="38"/>
  <c r="AB21" i="38" s="1"/>
  <c r="W21" i="38"/>
  <c r="AA20" i="38"/>
  <c r="Y20" i="38"/>
  <c r="W20" i="38"/>
  <c r="AA19" i="38"/>
  <c r="Y19" i="38"/>
  <c r="AB19" i="38" s="1"/>
  <c r="W19" i="38"/>
  <c r="AA18" i="38"/>
  <c r="Y18" i="38"/>
  <c r="W18" i="38"/>
  <c r="AA17" i="38"/>
  <c r="Y17" i="38"/>
  <c r="AB17" i="38" s="1"/>
  <c r="W17" i="38"/>
  <c r="AA16" i="38"/>
  <c r="Y16" i="38"/>
  <c r="W16" i="38"/>
  <c r="AA15" i="38"/>
  <c r="Y15" i="38"/>
  <c r="AB15" i="38" s="1"/>
  <c r="W15" i="38"/>
  <c r="AA14" i="38"/>
  <c r="Y14" i="38"/>
  <c r="W14" i="38"/>
  <c r="AA13" i="38"/>
  <c r="Y13" i="38"/>
  <c r="AB13" i="38" s="1"/>
  <c r="W13" i="38"/>
  <c r="AA12" i="38"/>
  <c r="Y12" i="38"/>
  <c r="W12" i="38"/>
  <c r="AA11" i="38"/>
  <c r="Y11" i="38"/>
  <c r="AB11" i="38" s="1"/>
  <c r="W11" i="38"/>
  <c r="AA10" i="38"/>
  <c r="Y10" i="38"/>
  <c r="W10" i="38"/>
  <c r="AA9" i="38"/>
  <c r="Y9" i="38"/>
  <c r="AB9" i="38" s="1"/>
  <c r="W9" i="38"/>
  <c r="AA8" i="38"/>
  <c r="Y8" i="38"/>
  <c r="W8" i="38"/>
  <c r="J1" i="38"/>
  <c r="F1" i="38"/>
  <c r="F43" i="2"/>
  <c r="AB34" i="38" l="1"/>
  <c r="AB8" i="38"/>
  <c r="AB10" i="38"/>
  <c r="AB12" i="38"/>
  <c r="AB14" i="38"/>
  <c r="AB16" i="38"/>
  <c r="AB18" i="38"/>
  <c r="AB20" i="38"/>
  <c r="AB22" i="38"/>
  <c r="AB24" i="38"/>
  <c r="AB26" i="38"/>
  <c r="AB28" i="38"/>
  <c r="AB30" i="38"/>
  <c r="B324" i="30"/>
  <c r="C324" i="30"/>
  <c r="B325" i="30"/>
  <c r="C325" i="30"/>
  <c r="A4" i="37"/>
  <c r="A3" i="37"/>
  <c r="A2" i="37"/>
  <c r="A1" i="37"/>
  <c r="A4" i="36"/>
  <c r="A3" i="36"/>
  <c r="A2" i="36"/>
  <c r="A1" i="36"/>
  <c r="A4" i="35"/>
  <c r="A3" i="35"/>
  <c r="A2" i="35"/>
  <c r="A1" i="35"/>
  <c r="A4" i="30"/>
  <c r="A3" i="30"/>
  <c r="A2" i="30"/>
  <c r="A1" i="30"/>
  <c r="A4" i="33"/>
  <c r="A3" i="33"/>
  <c r="A2" i="33"/>
  <c r="A1" i="33"/>
  <c r="A4" i="31"/>
  <c r="A3" i="31"/>
  <c r="A2" i="31"/>
  <c r="A1" i="31"/>
  <c r="A4" i="34"/>
  <c r="A3" i="34"/>
  <c r="A2" i="34"/>
  <c r="A1" i="34"/>
  <c r="A4" i="28"/>
  <c r="A3" i="28"/>
  <c r="A2" i="28"/>
  <c r="A1" i="28"/>
  <c r="A4" i="32"/>
  <c r="A3" i="32"/>
  <c r="A2" i="32"/>
  <c r="A1" i="32"/>
  <c r="A4" i="29"/>
  <c r="A3" i="29"/>
  <c r="A2" i="29"/>
  <c r="A1" i="29"/>
  <c r="A4" i="26"/>
  <c r="A3" i="26"/>
  <c r="A2" i="26"/>
  <c r="A1" i="26"/>
  <c r="A4" i="27"/>
  <c r="A3" i="27"/>
  <c r="A2" i="27"/>
  <c r="A1" i="27"/>
  <c r="A4" i="25"/>
  <c r="A3" i="25"/>
  <c r="A2" i="25"/>
  <c r="A1" i="25"/>
  <c r="A4" i="21"/>
  <c r="A3" i="21"/>
  <c r="A2" i="21"/>
  <c r="A1" i="21"/>
  <c r="A4" i="24"/>
  <c r="A3" i="24"/>
  <c r="A2" i="24"/>
  <c r="A1" i="24"/>
  <c r="A4" i="15"/>
  <c r="A3" i="15"/>
  <c r="A2" i="15"/>
  <c r="A1" i="15"/>
  <c r="A4" i="14"/>
  <c r="A3" i="14"/>
  <c r="A2" i="14"/>
  <c r="A1" i="14"/>
  <c r="A4" i="13"/>
  <c r="A3" i="13"/>
  <c r="A2" i="13"/>
  <c r="A1" i="13"/>
  <c r="A4" i="12"/>
  <c r="A3" i="12"/>
  <c r="A2" i="12"/>
  <c r="A1" i="12"/>
  <c r="A4" i="11"/>
  <c r="A3" i="11"/>
  <c r="A2" i="11"/>
  <c r="A1" i="11"/>
  <c r="A4" i="20"/>
  <c r="A3" i="20"/>
  <c r="A2" i="20"/>
  <c r="A1" i="20"/>
  <c r="A4" i="19"/>
  <c r="A3" i="19"/>
  <c r="A2" i="19"/>
  <c r="A1" i="19"/>
  <c r="A4" i="18"/>
  <c r="A3" i="18"/>
  <c r="A2" i="18"/>
  <c r="A1" i="18"/>
  <c r="A4" i="17"/>
  <c r="A3" i="17"/>
  <c r="A2" i="17"/>
  <c r="A1" i="17"/>
  <c r="A4" i="16"/>
  <c r="A3" i="16"/>
  <c r="A2" i="16"/>
  <c r="A1" i="16"/>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8" i="4"/>
  <c r="AE30" i="37"/>
  <c r="AE31" i="37"/>
  <c r="AE29" i="37"/>
  <c r="AE28" i="37"/>
  <c r="AE27" i="37"/>
  <c r="AE26" i="37"/>
  <c r="AE25" i="37"/>
  <c r="AE24" i="37"/>
  <c r="AE23" i="37"/>
  <c r="AE22" i="37"/>
  <c r="AE21" i="37"/>
  <c r="AE20" i="37"/>
  <c r="AE19" i="37"/>
  <c r="AE18" i="37"/>
  <c r="AE17" i="37"/>
  <c r="AE16" i="37"/>
  <c r="AE15" i="37"/>
  <c r="AE14" i="37"/>
  <c r="AE13" i="37"/>
  <c r="AE12" i="37"/>
  <c r="AE11" i="37"/>
  <c r="AE10" i="37"/>
  <c r="AE9" i="37"/>
  <c r="AE8" i="37"/>
  <c r="AE9" i="36"/>
  <c r="AE10" i="36"/>
  <c r="AE11" i="36"/>
  <c r="AE12" i="36"/>
  <c r="AE13" i="36"/>
  <c r="AE14" i="36"/>
  <c r="AE15" i="36"/>
  <c r="AE16" i="36"/>
  <c r="AE17" i="36"/>
  <c r="AE18" i="36"/>
  <c r="AE19" i="36"/>
  <c r="AE20" i="36"/>
  <c r="AE21" i="36"/>
  <c r="AE22" i="36"/>
  <c r="AE23" i="36"/>
  <c r="AE24" i="36"/>
  <c r="AE25" i="36"/>
  <c r="AE26" i="36"/>
  <c r="AE27" i="36"/>
  <c r="AE28" i="36"/>
  <c r="AE29" i="36"/>
  <c r="AE8" i="36"/>
  <c r="AE12" i="35"/>
  <c r="AE13" i="35"/>
  <c r="AE14" i="35"/>
  <c r="AE15" i="35"/>
  <c r="AE16" i="35"/>
  <c r="AE17" i="35"/>
  <c r="AE18" i="35"/>
  <c r="AE19" i="35"/>
  <c r="AE20" i="35"/>
  <c r="AE21" i="35"/>
  <c r="AE22" i="35"/>
  <c r="AE23" i="35"/>
  <c r="AE24" i="35"/>
  <c r="AE25" i="35"/>
  <c r="AE26" i="35"/>
  <c r="AE27" i="35"/>
  <c r="AE28" i="35"/>
  <c r="AE29" i="35"/>
  <c r="AE30" i="35"/>
  <c r="AF30" i="35" s="1"/>
  <c r="AD30" i="35" s="1"/>
  <c r="AE31" i="35"/>
  <c r="AF31" i="35"/>
  <c r="AD31" i="35" s="1"/>
  <c r="AE32" i="35"/>
  <c r="AF32" i="35" s="1"/>
  <c r="AD32" i="35" s="1"/>
  <c r="AE33" i="35"/>
  <c r="AF33" i="35" s="1"/>
  <c r="AD33" i="35" s="1"/>
  <c r="AE34" i="35"/>
  <c r="AF34" i="35" s="1"/>
  <c r="AD34" i="35" s="1"/>
  <c r="AE35" i="35"/>
  <c r="AF35" i="35" s="1"/>
  <c r="AD35" i="35" s="1"/>
  <c r="AE36" i="35"/>
  <c r="AF36" i="35" s="1"/>
  <c r="AD36" i="35" s="1"/>
  <c r="AE37" i="35"/>
  <c r="AF37" i="35" s="1"/>
  <c r="AD37" i="35" s="1"/>
  <c r="AE38" i="35"/>
  <c r="AF38" i="35" s="1"/>
  <c r="AD38" i="35" s="1"/>
  <c r="AE39" i="35"/>
  <c r="AF39" i="35"/>
  <c r="AD39" i="35" s="1"/>
  <c r="AE40" i="35"/>
  <c r="AF40" i="35" s="1"/>
  <c r="AD40" i="35" s="1"/>
  <c r="AE41" i="35"/>
  <c r="AF41" i="35" s="1"/>
  <c r="AD41" i="35" s="1"/>
  <c r="AE42" i="35"/>
  <c r="AF42" i="35" s="1"/>
  <c r="AD42" i="35" s="1"/>
  <c r="AE43" i="35"/>
  <c r="AF43" i="35" s="1"/>
  <c r="AD43" i="35" s="1"/>
  <c r="AE44" i="35"/>
  <c r="AF44" i="35" s="1"/>
  <c r="AD44" i="35" s="1"/>
  <c r="AE45" i="35"/>
  <c r="AF45" i="35" s="1"/>
  <c r="AD45" i="35" s="1"/>
  <c r="AE46" i="35"/>
  <c r="AF46" i="35" s="1"/>
  <c r="AD46" i="35" s="1"/>
  <c r="AE47" i="35"/>
  <c r="AF47" i="35"/>
  <c r="AD47" i="35" s="1"/>
  <c r="AE48" i="35"/>
  <c r="AF48" i="35" s="1"/>
  <c r="AD48" i="35" s="1"/>
  <c r="AE49" i="35"/>
  <c r="AF49" i="35" s="1"/>
  <c r="AD49" i="35" s="1"/>
  <c r="AE50" i="35"/>
  <c r="AF50" i="35" s="1"/>
  <c r="AD50" i="35" s="1"/>
  <c r="AE51" i="35"/>
  <c r="AF51" i="35" s="1"/>
  <c r="AD51" i="35" s="1"/>
  <c r="AE52" i="35"/>
  <c r="AF52" i="35" s="1"/>
  <c r="AD52" i="35" s="1"/>
  <c r="AE53" i="35"/>
  <c r="AF53" i="35" s="1"/>
  <c r="AD53" i="35" s="1"/>
  <c r="AE54" i="35"/>
  <c r="AF54" i="35" s="1"/>
  <c r="AD54" i="35" s="1"/>
  <c r="AE55" i="35"/>
  <c r="AF55" i="35"/>
  <c r="AD55" i="35" s="1"/>
  <c r="AE56" i="35"/>
  <c r="AF56" i="35" s="1"/>
  <c r="AD56" i="35" s="1"/>
  <c r="AE57" i="35"/>
  <c r="AF57" i="35" s="1"/>
  <c r="AD57" i="35" s="1"/>
  <c r="AE58" i="35"/>
  <c r="AF58" i="35" s="1"/>
  <c r="AD58" i="35" s="1"/>
  <c r="AE59" i="35"/>
  <c r="AF59" i="35" s="1"/>
  <c r="AD59" i="35" s="1"/>
  <c r="AE60" i="35"/>
  <c r="AF60" i="35" s="1"/>
  <c r="AD60" i="35" s="1"/>
  <c r="AE61" i="35"/>
  <c r="AF61" i="35" s="1"/>
  <c r="AD61" i="35" s="1"/>
  <c r="AE62" i="35"/>
  <c r="AF62" i="35" s="1"/>
  <c r="AD62" i="35" s="1"/>
  <c r="AE63" i="35"/>
  <c r="AF63" i="35"/>
  <c r="AD63" i="35" s="1"/>
  <c r="AE64" i="35"/>
  <c r="AF64" i="35" s="1"/>
  <c r="AD64" i="35" s="1"/>
  <c r="AE65" i="35"/>
  <c r="AF65" i="35" s="1"/>
  <c r="AD65" i="35" s="1"/>
  <c r="AE66" i="35"/>
  <c r="AF66" i="35" s="1"/>
  <c r="AD66" i="35" s="1"/>
  <c r="AE67" i="35"/>
  <c r="AF67" i="35" s="1"/>
  <c r="AD67" i="35" s="1"/>
  <c r="AE68" i="35"/>
  <c r="AF68" i="35" s="1"/>
  <c r="AD68" i="35" s="1"/>
  <c r="AE69" i="35"/>
  <c r="AF69" i="35" s="1"/>
  <c r="AD69" i="35" s="1"/>
  <c r="AE70" i="35"/>
  <c r="AF70" i="35" s="1"/>
  <c r="AD70" i="35" s="1"/>
  <c r="AE71" i="35"/>
  <c r="AF71" i="35"/>
  <c r="AD71" i="35" s="1"/>
  <c r="AE72" i="35"/>
  <c r="AF72" i="35" s="1"/>
  <c r="AD72" i="35" s="1"/>
  <c r="AE73" i="35"/>
  <c r="AF73" i="35" s="1"/>
  <c r="AD73" i="35" s="1"/>
  <c r="AE74" i="35"/>
  <c r="AF74" i="35" s="1"/>
  <c r="AD74" i="35" s="1"/>
  <c r="AE75" i="35"/>
  <c r="AF75" i="35" s="1"/>
  <c r="AD75" i="35" s="1"/>
  <c r="AE76" i="35"/>
  <c r="AF76" i="35" s="1"/>
  <c r="AD76" i="35" s="1"/>
  <c r="AE77" i="35"/>
  <c r="AF77" i="35" s="1"/>
  <c r="AD77" i="35" s="1"/>
  <c r="AE78" i="35"/>
  <c r="AF78" i="35" s="1"/>
  <c r="AD78" i="35" s="1"/>
  <c r="AE79" i="35"/>
  <c r="AF79" i="35"/>
  <c r="AD79" i="35" s="1"/>
  <c r="AE80" i="35"/>
  <c r="AF80" i="35" s="1"/>
  <c r="AD80" i="35" s="1"/>
  <c r="AE81" i="35"/>
  <c r="AF81" i="35" s="1"/>
  <c r="AD81" i="35" s="1"/>
  <c r="AE82" i="35"/>
  <c r="AF82" i="35" s="1"/>
  <c r="AD82" i="35" s="1"/>
  <c r="AE83" i="35"/>
  <c r="AF83" i="35" s="1"/>
  <c r="AD83" i="35" s="1"/>
  <c r="AE84" i="35"/>
  <c r="AF84" i="35" s="1"/>
  <c r="AD84" i="35" s="1"/>
  <c r="AE85" i="35"/>
  <c r="AF85" i="35" s="1"/>
  <c r="AD85" i="35" s="1"/>
  <c r="AE86" i="35"/>
  <c r="AF86" i="35" s="1"/>
  <c r="AD86" i="35" s="1"/>
  <c r="AE87" i="35"/>
  <c r="AF87" i="35"/>
  <c r="AD87" i="35" s="1"/>
  <c r="AE88" i="35"/>
  <c r="AF88" i="35" s="1"/>
  <c r="AD88" i="35" s="1"/>
  <c r="AE89" i="35"/>
  <c r="AF89" i="35" s="1"/>
  <c r="AD89" i="35" s="1"/>
  <c r="AE90" i="35"/>
  <c r="AF90" i="35" s="1"/>
  <c r="AD90" i="35" s="1"/>
  <c r="AE91" i="35"/>
  <c r="AF91" i="35" s="1"/>
  <c r="AD91" i="35" s="1"/>
  <c r="AE92" i="35"/>
  <c r="AF92" i="35" s="1"/>
  <c r="AD92" i="35" s="1"/>
  <c r="AE93" i="35"/>
  <c r="AF93" i="35" s="1"/>
  <c r="AD93" i="35" s="1"/>
  <c r="AE94" i="35"/>
  <c r="AF94" i="35" s="1"/>
  <c r="AD94" i="35" s="1"/>
  <c r="AE95" i="35"/>
  <c r="AF95" i="35"/>
  <c r="AD95" i="35" s="1"/>
  <c r="AE96" i="35"/>
  <c r="AF96" i="35" s="1"/>
  <c r="AD96" i="35" s="1"/>
  <c r="AE97" i="35"/>
  <c r="AF97" i="35" s="1"/>
  <c r="AD97" i="35" s="1"/>
  <c r="AE98" i="35"/>
  <c r="AF98" i="35" s="1"/>
  <c r="AD98" i="35" s="1"/>
  <c r="AE99" i="35"/>
  <c r="AF99" i="35" s="1"/>
  <c r="AD99" i="35" s="1"/>
  <c r="AE100" i="35"/>
  <c r="AF100" i="35" s="1"/>
  <c r="AD100" i="35" s="1"/>
  <c r="AE101" i="35"/>
  <c r="AF101" i="35" s="1"/>
  <c r="AD101" i="35" s="1"/>
  <c r="AE102" i="35"/>
  <c r="AF102" i="35" s="1"/>
  <c r="AD102" i="35" s="1"/>
  <c r="AE103" i="35"/>
  <c r="AF103" i="35"/>
  <c r="AD103" i="35" s="1"/>
  <c r="AE104" i="35"/>
  <c r="AF104" i="35" s="1"/>
  <c r="AD104" i="35" s="1"/>
  <c r="AE105" i="35"/>
  <c r="AF105" i="35" s="1"/>
  <c r="AD105" i="35" s="1"/>
  <c r="AE106" i="35"/>
  <c r="AF106" i="35" s="1"/>
  <c r="AD106" i="35" s="1"/>
  <c r="AE107" i="35"/>
  <c r="AF107" i="35" s="1"/>
  <c r="AD107" i="35" s="1"/>
  <c r="AE108" i="35"/>
  <c r="AF108" i="35" s="1"/>
  <c r="AD108" i="35" s="1"/>
  <c r="AE109" i="35"/>
  <c r="AF109" i="35" s="1"/>
  <c r="AD109" i="35" s="1"/>
  <c r="AE110" i="35"/>
  <c r="AF110" i="35" s="1"/>
  <c r="AD110" i="35" s="1"/>
  <c r="AE111" i="35"/>
  <c r="AF111" i="35"/>
  <c r="AD111" i="35" s="1"/>
  <c r="AE112" i="35"/>
  <c r="AF112" i="35" s="1"/>
  <c r="AD112" i="35" s="1"/>
  <c r="AE113" i="35"/>
  <c r="AF113" i="35" s="1"/>
  <c r="AD113" i="35" s="1"/>
  <c r="AE114" i="35"/>
  <c r="AF114" i="35" s="1"/>
  <c r="AD114" i="35" s="1"/>
  <c r="AE115" i="35"/>
  <c r="AF115" i="35" s="1"/>
  <c r="AD115" i="35" s="1"/>
  <c r="AE116" i="35"/>
  <c r="AF116" i="35" s="1"/>
  <c r="AD116" i="35" s="1"/>
  <c r="AE117" i="35"/>
  <c r="AF117" i="35" s="1"/>
  <c r="AD117" i="35" s="1"/>
  <c r="AE118" i="35"/>
  <c r="AF118" i="35" s="1"/>
  <c r="AD118" i="35" s="1"/>
  <c r="AE119" i="35"/>
  <c r="AF119" i="35"/>
  <c r="AD119" i="35" s="1"/>
  <c r="AE120" i="35"/>
  <c r="AF120" i="35" s="1"/>
  <c r="AD120" i="35" s="1"/>
  <c r="AE121" i="35"/>
  <c r="AF121" i="35" s="1"/>
  <c r="AD121" i="35" s="1"/>
  <c r="AE122" i="35"/>
  <c r="AF122" i="35" s="1"/>
  <c r="AD122" i="35" s="1"/>
  <c r="AE123" i="35"/>
  <c r="AF123" i="35" s="1"/>
  <c r="AD123" i="35" s="1"/>
  <c r="AE124" i="35"/>
  <c r="AF124" i="35" s="1"/>
  <c r="AD124" i="35" s="1"/>
  <c r="AE125" i="35"/>
  <c r="AF125" i="35" s="1"/>
  <c r="AD125" i="35" s="1"/>
  <c r="AE126" i="35"/>
  <c r="AF126" i="35" s="1"/>
  <c r="AD126" i="35" s="1"/>
  <c r="AE127" i="35"/>
  <c r="AF127" i="35"/>
  <c r="AD127" i="35" s="1"/>
  <c r="AE128" i="35"/>
  <c r="AF128" i="35" s="1"/>
  <c r="AD128" i="35" s="1"/>
  <c r="AE129" i="35"/>
  <c r="AF129" i="35" s="1"/>
  <c r="AD129" i="35" s="1"/>
  <c r="AE130" i="35"/>
  <c r="AF130" i="35" s="1"/>
  <c r="AD130" i="35" s="1"/>
  <c r="AE131" i="35"/>
  <c r="AF131" i="35" s="1"/>
  <c r="AD131" i="35" s="1"/>
  <c r="AE132" i="35"/>
  <c r="AF132" i="35" s="1"/>
  <c r="AD132" i="35" s="1"/>
  <c r="AE133" i="35"/>
  <c r="AF133" i="35" s="1"/>
  <c r="AD133" i="35" s="1"/>
  <c r="AE134" i="35"/>
  <c r="AF134" i="35" s="1"/>
  <c r="AD134" i="35" s="1"/>
  <c r="AE135" i="35"/>
  <c r="AF135" i="35"/>
  <c r="AD135" i="35" s="1"/>
  <c r="AE136" i="35"/>
  <c r="AF136" i="35" s="1"/>
  <c r="AD136" i="35" s="1"/>
  <c r="AE137" i="35"/>
  <c r="AF137" i="35" s="1"/>
  <c r="AD137" i="35" s="1"/>
  <c r="AE138" i="35"/>
  <c r="AF138" i="35" s="1"/>
  <c r="AD138" i="35" s="1"/>
  <c r="AE139" i="35"/>
  <c r="AF139" i="35" s="1"/>
  <c r="AD139" i="35" s="1"/>
  <c r="AE140" i="35"/>
  <c r="AF140" i="35"/>
  <c r="AD140" i="35" s="1"/>
  <c r="AE141" i="35"/>
  <c r="AF141" i="35" s="1"/>
  <c r="AD141" i="35" s="1"/>
  <c r="AE142" i="35"/>
  <c r="AF142" i="35" s="1"/>
  <c r="AD142" i="35" s="1"/>
  <c r="AE143" i="35"/>
  <c r="AF143" i="35" s="1"/>
  <c r="AD143" i="35" s="1"/>
  <c r="AE144" i="35"/>
  <c r="AF144" i="35" s="1"/>
  <c r="AD144" i="35" s="1"/>
  <c r="AE145" i="35"/>
  <c r="AF145" i="35" s="1"/>
  <c r="AD145" i="35" s="1"/>
  <c r="AE146" i="35"/>
  <c r="AF146" i="35" s="1"/>
  <c r="AD146" i="35" s="1"/>
  <c r="AE147" i="35"/>
  <c r="AF147" i="35" s="1"/>
  <c r="AD147" i="35" s="1"/>
  <c r="AE148" i="35"/>
  <c r="AF148" i="35"/>
  <c r="AD148" i="35" s="1"/>
  <c r="AE149" i="35"/>
  <c r="AF149" i="35" s="1"/>
  <c r="AD149" i="35" s="1"/>
  <c r="AE150" i="35"/>
  <c r="AF150" i="35" s="1"/>
  <c r="AD150" i="35" s="1"/>
  <c r="AE151" i="35"/>
  <c r="AF151" i="35" s="1"/>
  <c r="AD151" i="35" s="1"/>
  <c r="AE152" i="35"/>
  <c r="AF152" i="35" s="1"/>
  <c r="AD152" i="35" s="1"/>
  <c r="AE153" i="35"/>
  <c r="AF153" i="35" s="1"/>
  <c r="AD153" i="35" s="1"/>
  <c r="AE154" i="35"/>
  <c r="AF154" i="35" s="1"/>
  <c r="AD154" i="35" s="1"/>
  <c r="AE155" i="35"/>
  <c r="AF155" i="35" s="1"/>
  <c r="AD155" i="35" s="1"/>
  <c r="AE156" i="35"/>
  <c r="AF156" i="35"/>
  <c r="AD156" i="35" s="1"/>
  <c r="AE157" i="35"/>
  <c r="AF157" i="35" s="1"/>
  <c r="AD157" i="35" s="1"/>
  <c r="AE158" i="35"/>
  <c r="AF158" i="35" s="1"/>
  <c r="AD158" i="35" s="1"/>
  <c r="AE159" i="35"/>
  <c r="AF159" i="35" s="1"/>
  <c r="AD159" i="35" s="1"/>
  <c r="AE160" i="35"/>
  <c r="AF160" i="35" s="1"/>
  <c r="AD160" i="35" s="1"/>
  <c r="AE161" i="35"/>
  <c r="AF161" i="35" s="1"/>
  <c r="AD161" i="35" s="1"/>
  <c r="AE162" i="35"/>
  <c r="AF162" i="35" s="1"/>
  <c r="AD162" i="35" s="1"/>
  <c r="AE163" i="35"/>
  <c r="AF163" i="35" s="1"/>
  <c r="AD163" i="35" s="1"/>
  <c r="AE164" i="35"/>
  <c r="AF164" i="35"/>
  <c r="AD164" i="35" s="1"/>
  <c r="AE165" i="35"/>
  <c r="AF165" i="35" s="1"/>
  <c r="AD165" i="35" s="1"/>
  <c r="AE166" i="35"/>
  <c r="AF166" i="35" s="1"/>
  <c r="AD166" i="35" s="1"/>
  <c r="AE167" i="35"/>
  <c r="AF167" i="35" s="1"/>
  <c r="AD167" i="35" s="1"/>
  <c r="AE168" i="35"/>
  <c r="AF168" i="35" s="1"/>
  <c r="AD168" i="35" s="1"/>
  <c r="AE169" i="35"/>
  <c r="AF169" i="35" s="1"/>
  <c r="AD169" i="35" s="1"/>
  <c r="AE170" i="35"/>
  <c r="AF170" i="35" s="1"/>
  <c r="AD170" i="35" s="1"/>
  <c r="AE171" i="35"/>
  <c r="AF171" i="35" s="1"/>
  <c r="AD171" i="35" s="1"/>
  <c r="AE172" i="35"/>
  <c r="AF172" i="35"/>
  <c r="AD172" i="35" s="1"/>
  <c r="AE173" i="35"/>
  <c r="AF173" i="35" s="1"/>
  <c r="AD173" i="35" s="1"/>
  <c r="AE174" i="35"/>
  <c r="AF174" i="35" s="1"/>
  <c r="AD174" i="35" s="1"/>
  <c r="AE175" i="35"/>
  <c r="AF175" i="35" s="1"/>
  <c r="AD175" i="35" s="1"/>
  <c r="AE176" i="35"/>
  <c r="AF176" i="35" s="1"/>
  <c r="AD176" i="35" s="1"/>
  <c r="AE177" i="35"/>
  <c r="AF177" i="35" s="1"/>
  <c r="AD177" i="35" s="1"/>
  <c r="AE178" i="35"/>
  <c r="AF178" i="35" s="1"/>
  <c r="AD178" i="35" s="1"/>
  <c r="AE179" i="35"/>
  <c r="AF179" i="35" s="1"/>
  <c r="AD179" i="35" s="1"/>
  <c r="AE180" i="35"/>
  <c r="AF180" i="35"/>
  <c r="AD180" i="35" s="1"/>
  <c r="AE181" i="35"/>
  <c r="AF181" i="35" s="1"/>
  <c r="AD181" i="35" s="1"/>
  <c r="AE182" i="35"/>
  <c r="AF182" i="35" s="1"/>
  <c r="AD182" i="35" s="1"/>
  <c r="AE183" i="35"/>
  <c r="AF183" i="35" s="1"/>
  <c r="AD183" i="35" s="1"/>
  <c r="AE184" i="35"/>
  <c r="AF184" i="35" s="1"/>
  <c r="AD184" i="35" s="1"/>
  <c r="AE185" i="35"/>
  <c r="AF185" i="35" s="1"/>
  <c r="AD185" i="35" s="1"/>
  <c r="AE186" i="35"/>
  <c r="AF186" i="35" s="1"/>
  <c r="AD186" i="35" s="1"/>
  <c r="AE187" i="35"/>
  <c r="AF187" i="35" s="1"/>
  <c r="AD187" i="35" s="1"/>
  <c r="AE188" i="35"/>
  <c r="AF188" i="35"/>
  <c r="AD188" i="35" s="1"/>
  <c r="AE189" i="35"/>
  <c r="AF189" i="35" s="1"/>
  <c r="AD189" i="35" s="1"/>
  <c r="AE190" i="35"/>
  <c r="AF190" i="35" s="1"/>
  <c r="AD190" i="35" s="1"/>
  <c r="AE191" i="35"/>
  <c r="AF191" i="35" s="1"/>
  <c r="AD191" i="35" s="1"/>
  <c r="AE192" i="35"/>
  <c r="AF192" i="35" s="1"/>
  <c r="AD192" i="35" s="1"/>
  <c r="AE193" i="35"/>
  <c r="AF193" i="35" s="1"/>
  <c r="AD193" i="35" s="1"/>
  <c r="AE194" i="35"/>
  <c r="AF194" i="35" s="1"/>
  <c r="AD194" i="35" s="1"/>
  <c r="AE195" i="35"/>
  <c r="AF195" i="35" s="1"/>
  <c r="AD195" i="35" s="1"/>
  <c r="AE196" i="35"/>
  <c r="AF196" i="35"/>
  <c r="AD196" i="35" s="1"/>
  <c r="AE197" i="35"/>
  <c r="AF197" i="35" s="1"/>
  <c r="AD197" i="35" s="1"/>
  <c r="AE198" i="35"/>
  <c r="AF198" i="35" s="1"/>
  <c r="AD198" i="35" s="1"/>
  <c r="AE199" i="35"/>
  <c r="AF199" i="35" s="1"/>
  <c r="AD199" i="35" s="1"/>
  <c r="AE200" i="35"/>
  <c r="AF200" i="35" s="1"/>
  <c r="AD200" i="35" s="1"/>
  <c r="AE201" i="35"/>
  <c r="AF201" i="35" s="1"/>
  <c r="AD201" i="35" s="1"/>
  <c r="AE202" i="35"/>
  <c r="AF202" i="35" s="1"/>
  <c r="AD202" i="35" s="1"/>
  <c r="AE203" i="35"/>
  <c r="AF203" i="35" s="1"/>
  <c r="AD203" i="35" s="1"/>
  <c r="AE204" i="35"/>
  <c r="AF204" i="35"/>
  <c r="AD204" i="35" s="1"/>
  <c r="AE205" i="35"/>
  <c r="AF205" i="35" s="1"/>
  <c r="AD205" i="35" s="1"/>
  <c r="AE206" i="35"/>
  <c r="AF206" i="35" s="1"/>
  <c r="AD206" i="35" s="1"/>
  <c r="AE207" i="35"/>
  <c r="AF207" i="35" s="1"/>
  <c r="AD207" i="35" s="1"/>
  <c r="AE208" i="35"/>
  <c r="AF208" i="35" s="1"/>
  <c r="AD208" i="35" s="1"/>
  <c r="AE209" i="35"/>
  <c r="AF209" i="35" s="1"/>
  <c r="AD209" i="35" s="1"/>
  <c r="AE210" i="35"/>
  <c r="AF210" i="35" s="1"/>
  <c r="AD210" i="35" s="1"/>
  <c r="AE211" i="35"/>
  <c r="AF211" i="35" s="1"/>
  <c r="AD211" i="35" s="1"/>
  <c r="AE212" i="35"/>
  <c r="AF212" i="35"/>
  <c r="AD212" i="35" s="1"/>
  <c r="AE213" i="35"/>
  <c r="AF213" i="35" s="1"/>
  <c r="AD213" i="35" s="1"/>
  <c r="AE214" i="35"/>
  <c r="AF214" i="35" s="1"/>
  <c r="AD214" i="35" s="1"/>
  <c r="AE215" i="35"/>
  <c r="AF215" i="35" s="1"/>
  <c r="AD215" i="35" s="1"/>
  <c r="AE216" i="35"/>
  <c r="AF216" i="35" s="1"/>
  <c r="AD216" i="35" s="1"/>
  <c r="AE217" i="35"/>
  <c r="AF217" i="35" s="1"/>
  <c r="AD217" i="35" s="1"/>
  <c r="AE218" i="35"/>
  <c r="AF218" i="35" s="1"/>
  <c r="AD218" i="35" s="1"/>
  <c r="AE219" i="35"/>
  <c r="AF219" i="35" s="1"/>
  <c r="AD219" i="35" s="1"/>
  <c r="AE220" i="35"/>
  <c r="AF220" i="35"/>
  <c r="AD220" i="35" s="1"/>
  <c r="AE221" i="35"/>
  <c r="AF221" i="35" s="1"/>
  <c r="AD221" i="35" s="1"/>
  <c r="AE222" i="35"/>
  <c r="AF222" i="35" s="1"/>
  <c r="AD222" i="35" s="1"/>
  <c r="AE223" i="35"/>
  <c r="AF223" i="35" s="1"/>
  <c r="AD223" i="35" s="1"/>
  <c r="AE224" i="35"/>
  <c r="AF224" i="35" s="1"/>
  <c r="AD224" i="35" s="1"/>
  <c r="AE225" i="35"/>
  <c r="AF225" i="35" s="1"/>
  <c r="AD225" i="35" s="1"/>
  <c r="AE226" i="35"/>
  <c r="AF226" i="35" s="1"/>
  <c r="AD226" i="35" s="1"/>
  <c r="AE227" i="35"/>
  <c r="AF227" i="35" s="1"/>
  <c r="AD227" i="35" s="1"/>
  <c r="AE228" i="35"/>
  <c r="AF228" i="35"/>
  <c r="AD228" i="35" s="1"/>
  <c r="AE229" i="35"/>
  <c r="AF229" i="35" s="1"/>
  <c r="AD229" i="35" s="1"/>
  <c r="AE230" i="35"/>
  <c r="AF230" i="35" s="1"/>
  <c r="AD230" i="35" s="1"/>
  <c r="AE231" i="35"/>
  <c r="AF231" i="35" s="1"/>
  <c r="AD231" i="35" s="1"/>
  <c r="AE232" i="35"/>
  <c r="AF232" i="35" s="1"/>
  <c r="AD232" i="35" s="1"/>
  <c r="AE233" i="35"/>
  <c r="AF233" i="35" s="1"/>
  <c r="AD233" i="35" s="1"/>
  <c r="AE234" i="35"/>
  <c r="AF234" i="35" s="1"/>
  <c r="AD234" i="35" s="1"/>
  <c r="AE235" i="35"/>
  <c r="AF235" i="35" s="1"/>
  <c r="AD235" i="35" s="1"/>
  <c r="AE236" i="35"/>
  <c r="AF236" i="35"/>
  <c r="AD236" i="35" s="1"/>
  <c r="AE237" i="35"/>
  <c r="AF237" i="35" s="1"/>
  <c r="AD237" i="35" s="1"/>
  <c r="AE238" i="35"/>
  <c r="AF238" i="35" s="1"/>
  <c r="AD238" i="35" s="1"/>
  <c r="AE239" i="35"/>
  <c r="AF239" i="35" s="1"/>
  <c r="AD239" i="35" s="1"/>
  <c r="AE240" i="35"/>
  <c r="AF240" i="35" s="1"/>
  <c r="AD240" i="35" s="1"/>
  <c r="AE241" i="35"/>
  <c r="AF241" i="35" s="1"/>
  <c r="AD241" i="35" s="1"/>
  <c r="AE242" i="35"/>
  <c r="AF242" i="35" s="1"/>
  <c r="AD242" i="35" s="1"/>
  <c r="AE243" i="35"/>
  <c r="AF243" i="35" s="1"/>
  <c r="AD243" i="35" s="1"/>
  <c r="AE244" i="35"/>
  <c r="AF244" i="35"/>
  <c r="AD244" i="35" s="1"/>
  <c r="AE245" i="35"/>
  <c r="AF245" i="35" s="1"/>
  <c r="AD245" i="35" s="1"/>
  <c r="AE246" i="35"/>
  <c r="AF246" i="35" s="1"/>
  <c r="AD246" i="35" s="1"/>
  <c r="AE247" i="35"/>
  <c r="AF247" i="35" s="1"/>
  <c r="AD247" i="35" s="1"/>
  <c r="AE248" i="35"/>
  <c r="AF248" i="35" s="1"/>
  <c r="AD248" i="35" s="1"/>
  <c r="AE249" i="35"/>
  <c r="AF249" i="35" s="1"/>
  <c r="AD249" i="35" s="1"/>
  <c r="AE250" i="35"/>
  <c r="AF250" i="35" s="1"/>
  <c r="AD250" i="35" s="1"/>
  <c r="AE251" i="35"/>
  <c r="AF251" i="35" s="1"/>
  <c r="AD251" i="35" s="1"/>
  <c r="AE252" i="35"/>
  <c r="AF252" i="35"/>
  <c r="AD252" i="35" s="1"/>
  <c r="AE253" i="35"/>
  <c r="AF253" i="35" s="1"/>
  <c r="AD253" i="35" s="1"/>
  <c r="AE254" i="35"/>
  <c r="AF254" i="35" s="1"/>
  <c r="AD254" i="35" s="1"/>
  <c r="AE255" i="35"/>
  <c r="AF255" i="35" s="1"/>
  <c r="AD255" i="35" s="1"/>
  <c r="AE256" i="35"/>
  <c r="AF256" i="35" s="1"/>
  <c r="AD256" i="35" s="1"/>
  <c r="AE257" i="35"/>
  <c r="AF257" i="35" s="1"/>
  <c r="AD257" i="35" s="1"/>
  <c r="AE258" i="35"/>
  <c r="AF258" i="35" s="1"/>
  <c r="AD258" i="35" s="1"/>
  <c r="AE259" i="35"/>
  <c r="AF259" i="35" s="1"/>
  <c r="AD259" i="35" s="1"/>
  <c r="AE260" i="35"/>
  <c r="AF260" i="35"/>
  <c r="AD260" i="35" s="1"/>
  <c r="AE261" i="35"/>
  <c r="AF261" i="35" s="1"/>
  <c r="AD261" i="35" s="1"/>
  <c r="AE262" i="35"/>
  <c r="AF262" i="35" s="1"/>
  <c r="AD262" i="35" s="1"/>
  <c r="AE263" i="35"/>
  <c r="AF263" i="35" s="1"/>
  <c r="AD263" i="35" s="1"/>
  <c r="AE264" i="35"/>
  <c r="AF264" i="35" s="1"/>
  <c r="AD264" i="35" s="1"/>
  <c r="AE265" i="35"/>
  <c r="AF265" i="35" s="1"/>
  <c r="AD265" i="35" s="1"/>
  <c r="AE266" i="35"/>
  <c r="AF266" i="35" s="1"/>
  <c r="AD266" i="35" s="1"/>
  <c r="AE267" i="35"/>
  <c r="AF267" i="35" s="1"/>
  <c r="AD267" i="35" s="1"/>
  <c r="AE268" i="35"/>
  <c r="AF268" i="35"/>
  <c r="AD268" i="35" s="1"/>
  <c r="AE269" i="35"/>
  <c r="AF269" i="35" s="1"/>
  <c r="AD269" i="35" s="1"/>
  <c r="AE270" i="35"/>
  <c r="AF270" i="35" s="1"/>
  <c r="AD270" i="35" s="1"/>
  <c r="AE271" i="35"/>
  <c r="AF271" i="35" s="1"/>
  <c r="AD271" i="35" s="1"/>
  <c r="AE272" i="35"/>
  <c r="AF272" i="35" s="1"/>
  <c r="AD272" i="35" s="1"/>
  <c r="AE273" i="35"/>
  <c r="AF273" i="35" s="1"/>
  <c r="AD273" i="35" s="1"/>
  <c r="AE274" i="35"/>
  <c r="AF274" i="35" s="1"/>
  <c r="AD274" i="35" s="1"/>
  <c r="AE275" i="35"/>
  <c r="AF275" i="35" s="1"/>
  <c r="AD275" i="35" s="1"/>
  <c r="AE276" i="35"/>
  <c r="AF276" i="35"/>
  <c r="AD276" i="35" s="1"/>
  <c r="AE277" i="35"/>
  <c r="AF277" i="35" s="1"/>
  <c r="AD277" i="35" s="1"/>
  <c r="AE278" i="35"/>
  <c r="AF278" i="35" s="1"/>
  <c r="AD278" i="35" s="1"/>
  <c r="AE279" i="35"/>
  <c r="AF279" i="35" s="1"/>
  <c r="AD279" i="35" s="1"/>
  <c r="AE280" i="35"/>
  <c r="AF280" i="35" s="1"/>
  <c r="AD280" i="35" s="1"/>
  <c r="AE281" i="35"/>
  <c r="AF281" i="35" s="1"/>
  <c r="AD281" i="35" s="1"/>
  <c r="AE282" i="35"/>
  <c r="AF282" i="35" s="1"/>
  <c r="AD282" i="35" s="1"/>
  <c r="AE283" i="35"/>
  <c r="AF283" i="35" s="1"/>
  <c r="AD283" i="35" s="1"/>
  <c r="AE284" i="35"/>
  <c r="AF284" i="35"/>
  <c r="AD284" i="35" s="1"/>
  <c r="AE285" i="35"/>
  <c r="AF285" i="35" s="1"/>
  <c r="AD285" i="35" s="1"/>
  <c r="AE286" i="35"/>
  <c r="AF286" i="35" s="1"/>
  <c r="AD286" i="35" s="1"/>
  <c r="AE287" i="35"/>
  <c r="AF287" i="35" s="1"/>
  <c r="AD287" i="35" s="1"/>
  <c r="AE288" i="35"/>
  <c r="AF288" i="35" s="1"/>
  <c r="AD288" i="35" s="1"/>
  <c r="AE289" i="35"/>
  <c r="AF289" i="35" s="1"/>
  <c r="AD289" i="35" s="1"/>
  <c r="AE290" i="35"/>
  <c r="AF290" i="35" s="1"/>
  <c r="AD290" i="35" s="1"/>
  <c r="AE291" i="35"/>
  <c r="AF291" i="35" s="1"/>
  <c r="AD291" i="35" s="1"/>
  <c r="AE292" i="35"/>
  <c r="AF292" i="35"/>
  <c r="AD292" i="35" s="1"/>
  <c r="AE293" i="35"/>
  <c r="AF293" i="35" s="1"/>
  <c r="AD293" i="35" s="1"/>
  <c r="AE294" i="35"/>
  <c r="AF294" i="35" s="1"/>
  <c r="AD294" i="35" s="1"/>
  <c r="AE295" i="35"/>
  <c r="AF295" i="35" s="1"/>
  <c r="AD295" i="35" s="1"/>
  <c r="AE296" i="35"/>
  <c r="AF296" i="35" s="1"/>
  <c r="AD296" i="35" s="1"/>
  <c r="AE297" i="35"/>
  <c r="AF297" i="35" s="1"/>
  <c r="AD297" i="35" s="1"/>
  <c r="AE11" i="35"/>
  <c r="AE10" i="35"/>
  <c r="AE9" i="35"/>
  <c r="AE8" i="35"/>
  <c r="C323" i="37"/>
  <c r="C322" i="37"/>
  <c r="C321" i="37"/>
  <c r="C320" i="37"/>
  <c r="C319" i="37"/>
  <c r="AA31" i="37"/>
  <c r="Y31" i="37"/>
  <c r="AB31" i="37" s="1"/>
  <c r="W31" i="37"/>
  <c r="AA30" i="37"/>
  <c r="Y30" i="37"/>
  <c r="AB30" i="37" s="1"/>
  <c r="W30" i="37"/>
  <c r="AA29" i="37"/>
  <c r="Y29" i="37"/>
  <c r="W29" i="37"/>
  <c r="AA28" i="37"/>
  <c r="Y28" i="37"/>
  <c r="W28" i="37"/>
  <c r="AA27" i="37"/>
  <c r="Y27" i="37"/>
  <c r="AB27" i="37" s="1"/>
  <c r="W27" i="37"/>
  <c r="AA26" i="37"/>
  <c r="Y26" i="37"/>
  <c r="AB26" i="37" s="1"/>
  <c r="W26" i="37"/>
  <c r="AA25" i="37"/>
  <c r="Y25" i="37"/>
  <c r="AB25" i="37" s="1"/>
  <c r="W25" i="37"/>
  <c r="AA24" i="37"/>
  <c r="Y24" i="37"/>
  <c r="AB24" i="37" s="1"/>
  <c r="W24" i="37"/>
  <c r="AA23" i="37"/>
  <c r="Y23" i="37"/>
  <c r="AB23" i="37" s="1"/>
  <c r="W23" i="37"/>
  <c r="AA22" i="37"/>
  <c r="Y22" i="37"/>
  <c r="AB22" i="37" s="1"/>
  <c r="W22" i="37"/>
  <c r="AA21" i="37"/>
  <c r="Y21" i="37"/>
  <c r="AB21" i="37" s="1"/>
  <c r="W21" i="37"/>
  <c r="AA20" i="37"/>
  <c r="Y20" i="37"/>
  <c r="AB20" i="37" s="1"/>
  <c r="W20" i="37"/>
  <c r="AA19" i="37"/>
  <c r="Y19" i="37"/>
  <c r="AB19" i="37" s="1"/>
  <c r="W19" i="37"/>
  <c r="AA18" i="37"/>
  <c r="Y18" i="37"/>
  <c r="AB18" i="37" s="1"/>
  <c r="W18" i="37"/>
  <c r="AA17" i="37"/>
  <c r="Y17" i="37"/>
  <c r="AB17" i="37" s="1"/>
  <c r="W17" i="37"/>
  <c r="AA16" i="37"/>
  <c r="Y16" i="37"/>
  <c r="AB16" i="37" s="1"/>
  <c r="W16" i="37"/>
  <c r="AA15" i="37"/>
  <c r="Y15" i="37"/>
  <c r="AB15" i="37" s="1"/>
  <c r="W15" i="37"/>
  <c r="AA14" i="37"/>
  <c r="Y14" i="37"/>
  <c r="AB14" i="37" s="1"/>
  <c r="W14" i="37"/>
  <c r="AA13" i="37"/>
  <c r="Y13" i="37"/>
  <c r="AB13" i="37" s="1"/>
  <c r="W13" i="37"/>
  <c r="AA12" i="37"/>
  <c r="Y12" i="37"/>
  <c r="AB12" i="37" s="1"/>
  <c r="W12" i="37"/>
  <c r="AA11" i="37"/>
  <c r="Y11" i="37"/>
  <c r="AB11" i="37" s="1"/>
  <c r="W11" i="37"/>
  <c r="AA10" i="37"/>
  <c r="Y10" i="37"/>
  <c r="AB10" i="37" s="1"/>
  <c r="W10" i="37"/>
  <c r="AA9" i="37"/>
  <c r="Y9" i="37"/>
  <c r="AB9" i="37" s="1"/>
  <c r="W9" i="37"/>
  <c r="AA8" i="37"/>
  <c r="Y8" i="37"/>
  <c r="AB8" i="37" s="1"/>
  <c r="W8" i="37"/>
  <c r="N1" i="37"/>
  <c r="J1" i="37"/>
  <c r="B318" i="37"/>
  <c r="C321" i="36"/>
  <c r="C320" i="36"/>
  <c r="C319" i="36"/>
  <c r="AA29" i="36"/>
  <c r="Y29" i="36"/>
  <c r="W29" i="36"/>
  <c r="AA28" i="36"/>
  <c r="Y28" i="36"/>
  <c r="W28" i="36"/>
  <c r="AA27" i="36"/>
  <c r="Y27" i="36"/>
  <c r="AB27" i="36" s="1"/>
  <c r="W27" i="36"/>
  <c r="AA26" i="36"/>
  <c r="Y26" i="36"/>
  <c r="W26" i="36"/>
  <c r="AA25" i="36"/>
  <c r="Y25" i="36"/>
  <c r="W25" i="36"/>
  <c r="AA24" i="36"/>
  <c r="Y24" i="36"/>
  <c r="W24" i="36"/>
  <c r="AA23" i="36"/>
  <c r="Y23" i="36"/>
  <c r="AB23" i="36" s="1"/>
  <c r="W23" i="36"/>
  <c r="AA22" i="36"/>
  <c r="Y22" i="36"/>
  <c r="W22" i="36"/>
  <c r="AA21" i="36"/>
  <c r="Y21" i="36"/>
  <c r="W21" i="36"/>
  <c r="AA20" i="36"/>
  <c r="Y20" i="36"/>
  <c r="W20" i="36"/>
  <c r="AA19" i="36"/>
  <c r="Y19" i="36"/>
  <c r="AB19" i="36" s="1"/>
  <c r="W19" i="36"/>
  <c r="AA18" i="36"/>
  <c r="Y18" i="36"/>
  <c r="W18" i="36"/>
  <c r="AA17" i="36"/>
  <c r="Y17" i="36"/>
  <c r="W17" i="36"/>
  <c r="AA16" i="36"/>
  <c r="Y16" i="36"/>
  <c r="W16" i="36"/>
  <c r="AA15" i="36"/>
  <c r="Y15" i="36"/>
  <c r="AB15" i="36" s="1"/>
  <c r="W15" i="36"/>
  <c r="AA14" i="36"/>
  <c r="Y14" i="36"/>
  <c r="W14" i="36"/>
  <c r="AA13" i="36"/>
  <c r="Y13" i="36"/>
  <c r="W13" i="36"/>
  <c r="AA12" i="36"/>
  <c r="Y12" i="36"/>
  <c r="W12" i="36"/>
  <c r="AA11" i="36"/>
  <c r="Y11" i="36"/>
  <c r="AB11" i="36" s="1"/>
  <c r="W11" i="36"/>
  <c r="AA10" i="36"/>
  <c r="Y10" i="36"/>
  <c r="W10" i="36"/>
  <c r="AA9" i="36"/>
  <c r="Y9" i="36"/>
  <c r="AB9" i="36" s="1"/>
  <c r="W9" i="36"/>
  <c r="AA8" i="36"/>
  <c r="Y8" i="36"/>
  <c r="W8" i="36"/>
  <c r="N1" i="36"/>
  <c r="J1" i="36"/>
  <c r="C321" i="35"/>
  <c r="C320" i="35"/>
  <c r="C319" i="35"/>
  <c r="AA29" i="35"/>
  <c r="Y29" i="35"/>
  <c r="W29" i="35"/>
  <c r="AA28" i="35"/>
  <c r="Y28" i="35"/>
  <c r="W28" i="35"/>
  <c r="AA27" i="35"/>
  <c r="Y27" i="35"/>
  <c r="W27" i="35"/>
  <c r="AA26" i="35"/>
  <c r="Y26" i="35"/>
  <c r="W26" i="35"/>
  <c r="AA25" i="35"/>
  <c r="Y25" i="35"/>
  <c r="W25" i="35"/>
  <c r="AA24" i="35"/>
  <c r="Y24" i="35"/>
  <c r="W24" i="35"/>
  <c r="AA23" i="35"/>
  <c r="Y23" i="35"/>
  <c r="W23" i="35"/>
  <c r="AA22" i="35"/>
  <c r="Y22" i="35"/>
  <c r="W22" i="35"/>
  <c r="AA21" i="35"/>
  <c r="Y21" i="35"/>
  <c r="W21" i="35"/>
  <c r="AA20" i="35"/>
  <c r="Y20" i="35"/>
  <c r="W20" i="35"/>
  <c r="AA19" i="35"/>
  <c r="Y19" i="35"/>
  <c r="W19" i="35"/>
  <c r="AA18" i="35"/>
  <c r="Y18" i="35"/>
  <c r="W18" i="35"/>
  <c r="AA17" i="35"/>
  <c r="Y17" i="35"/>
  <c r="W17" i="35"/>
  <c r="AA16" i="35"/>
  <c r="Y16" i="35"/>
  <c r="W16" i="35"/>
  <c r="AA15" i="35"/>
  <c r="Y15" i="35"/>
  <c r="W15" i="35"/>
  <c r="AA14" i="35"/>
  <c r="Y14" i="35"/>
  <c r="W14" i="35"/>
  <c r="AA13" i="35"/>
  <c r="Y13" i="35"/>
  <c r="W13" i="35"/>
  <c r="AA12" i="35"/>
  <c r="Y12" i="35"/>
  <c r="W12" i="35"/>
  <c r="AA11" i="35"/>
  <c r="Y11" i="35"/>
  <c r="W11" i="35"/>
  <c r="AA10" i="35"/>
  <c r="Y10" i="35"/>
  <c r="W10" i="35"/>
  <c r="AA9" i="35"/>
  <c r="Y9" i="35"/>
  <c r="W9" i="35"/>
  <c r="AA8" i="35"/>
  <c r="Y8" i="35"/>
  <c r="W8" i="35"/>
  <c r="N1" i="35"/>
  <c r="J1" i="35"/>
  <c r="B318" i="35"/>
  <c r="AL18" i="34"/>
  <c r="AK18" i="34" s="1"/>
  <c r="AJ18" i="34"/>
  <c r="AI18" i="34" s="1"/>
  <c r="AH18" i="34"/>
  <c r="AF18" i="34"/>
  <c r="AA18" i="34"/>
  <c r="Y18" i="34"/>
  <c r="AB18" i="34" s="1"/>
  <c r="W18" i="34"/>
  <c r="AL17" i="34"/>
  <c r="AK17" i="34" s="1"/>
  <c r="AJ17" i="34"/>
  <c r="AI17" i="34" s="1"/>
  <c r="AH17" i="34"/>
  <c r="AF17" i="34"/>
  <c r="AA17" i="34"/>
  <c r="Y17" i="34"/>
  <c r="AB17" i="34" s="1"/>
  <c r="W17" i="34"/>
  <c r="AL16" i="34"/>
  <c r="AK16" i="34" s="1"/>
  <c r="AJ16" i="34"/>
  <c r="AI16" i="34" s="1"/>
  <c r="AH16" i="34"/>
  <c r="AF16" i="34"/>
  <c r="AA16" i="34"/>
  <c r="Y16" i="34"/>
  <c r="W16" i="34"/>
  <c r="AL15" i="34"/>
  <c r="AK15" i="34" s="1"/>
  <c r="AJ15" i="34"/>
  <c r="AI15" i="34" s="1"/>
  <c r="AH15" i="34"/>
  <c r="AF15" i="34"/>
  <c r="AA15" i="34"/>
  <c r="Y15" i="34"/>
  <c r="AB15" i="34" s="1"/>
  <c r="W15" i="34"/>
  <c r="AL14" i="34"/>
  <c r="AK14" i="34" s="1"/>
  <c r="AJ14" i="34"/>
  <c r="AI14" i="34" s="1"/>
  <c r="AH14" i="34"/>
  <c r="AF14" i="34"/>
  <c r="AA14" i="34"/>
  <c r="Y14" i="34"/>
  <c r="W14" i="34"/>
  <c r="AL13" i="34"/>
  <c r="AK13" i="34" s="1"/>
  <c r="AJ13" i="34"/>
  <c r="AI13" i="34" s="1"/>
  <c r="AH13" i="34"/>
  <c r="AF13" i="34"/>
  <c r="AA13" i="34"/>
  <c r="Y13" i="34"/>
  <c r="AB13" i="34" s="1"/>
  <c r="W13" i="34"/>
  <c r="AL12" i="34"/>
  <c r="AK12" i="34" s="1"/>
  <c r="AJ12" i="34"/>
  <c r="AI12" i="34" s="1"/>
  <c r="AH12" i="34"/>
  <c r="AF12" i="34"/>
  <c r="AA12" i="34"/>
  <c r="Y12" i="34"/>
  <c r="W12" i="34"/>
  <c r="AL11" i="34"/>
  <c r="AK11" i="34" s="1"/>
  <c r="AJ11" i="34"/>
  <c r="AI11" i="34" s="1"/>
  <c r="AH11" i="34"/>
  <c r="AF11" i="34"/>
  <c r="AA11" i="34"/>
  <c r="Y11" i="34"/>
  <c r="AB11" i="34" s="1"/>
  <c r="W11" i="34"/>
  <c r="AL10" i="34"/>
  <c r="AK10" i="34" s="1"/>
  <c r="AJ10" i="34"/>
  <c r="AI10" i="34" s="1"/>
  <c r="AH10" i="34"/>
  <c r="AF10" i="34"/>
  <c r="AA10" i="34"/>
  <c r="Y10" i="34"/>
  <c r="W10" i="34"/>
  <c r="AL9" i="34"/>
  <c r="AK9" i="34" s="1"/>
  <c r="AJ9" i="34"/>
  <c r="AI9" i="34" s="1"/>
  <c r="AH9" i="34"/>
  <c r="AF9" i="34"/>
  <c r="AA9" i="34"/>
  <c r="Y9" i="34"/>
  <c r="AB9" i="34" s="1"/>
  <c r="W9" i="34"/>
  <c r="AL8" i="34"/>
  <c r="AK8" i="34" s="1"/>
  <c r="AJ8" i="34"/>
  <c r="AI8" i="34" s="1"/>
  <c r="AH8" i="34"/>
  <c r="AF8" i="34"/>
  <c r="AA8" i="34"/>
  <c r="Y8" i="34"/>
  <c r="W8" i="34"/>
  <c r="J1" i="34"/>
  <c r="F1" i="34"/>
  <c r="H117" i="33"/>
  <c r="H114" i="33"/>
  <c r="H111" i="33"/>
  <c r="H108" i="33"/>
  <c r="H105" i="33"/>
  <c r="H102" i="33"/>
  <c r="AM12" i="33"/>
  <c r="AN12" i="33" s="1"/>
  <c r="AK12" i="33"/>
  <c r="AL12" i="33" s="1"/>
  <c r="AI12" i="33"/>
  <c r="AG12" i="33"/>
  <c r="AE12" i="33"/>
  <c r="Q12" i="33"/>
  <c r="P12" i="33"/>
  <c r="O12" i="33"/>
  <c r="I12" i="33"/>
  <c r="R12" i="33" s="1"/>
  <c r="AM11" i="33"/>
  <c r="AN11" i="33" s="1"/>
  <c r="AK11" i="33"/>
  <c r="AL11" i="33" s="1"/>
  <c r="AI11" i="33"/>
  <c r="AG11" i="33"/>
  <c r="AE11" i="33"/>
  <c r="Q11" i="33"/>
  <c r="P11" i="33"/>
  <c r="O11" i="33"/>
  <c r="I11" i="33"/>
  <c r="R11" i="33" s="1"/>
  <c r="AM10" i="33"/>
  <c r="AN10" i="33" s="1"/>
  <c r="AK10" i="33"/>
  <c r="AL10" i="33" s="1"/>
  <c r="AI10" i="33"/>
  <c r="AG10" i="33"/>
  <c r="AE10" i="33"/>
  <c r="Q10" i="33"/>
  <c r="P10" i="33"/>
  <c r="O10" i="33"/>
  <c r="I10" i="33"/>
  <c r="R10" i="33" s="1"/>
  <c r="AM9" i="33"/>
  <c r="AN9" i="33" s="1"/>
  <c r="AK9" i="33"/>
  <c r="AL9" i="33" s="1"/>
  <c r="AI9" i="33"/>
  <c r="AG9" i="33"/>
  <c r="AE9" i="33"/>
  <c r="Q9" i="33"/>
  <c r="P9" i="33"/>
  <c r="O9" i="33"/>
  <c r="I9" i="33"/>
  <c r="R9" i="33" s="1"/>
  <c r="AM8" i="33"/>
  <c r="AN8" i="33" s="1"/>
  <c r="AK8" i="33"/>
  <c r="AL8" i="33" s="1"/>
  <c r="AI8" i="33"/>
  <c r="AG8" i="33"/>
  <c r="AE8" i="33"/>
  <c r="Q8" i="33"/>
  <c r="P8" i="33"/>
  <c r="O8" i="33"/>
  <c r="I8" i="33"/>
  <c r="R8" i="33" s="1"/>
  <c r="AM7" i="33"/>
  <c r="AK7" i="33"/>
  <c r="AI7" i="33"/>
  <c r="AG7" i="33"/>
  <c r="AE7" i="33"/>
  <c r="Q7" i="33"/>
  <c r="P7" i="33"/>
  <c r="O7" i="33"/>
  <c r="I7" i="33"/>
  <c r="R7" i="33" s="1"/>
  <c r="S6" i="33"/>
  <c r="F1" i="33"/>
  <c r="D1" i="33"/>
  <c r="AF9" i="23"/>
  <c r="AE9" i="23" s="1"/>
  <c r="AH9" i="23"/>
  <c r="AG9" i="23" s="1"/>
  <c r="AJ9" i="23"/>
  <c r="AI9" i="23" s="1"/>
  <c r="AL9" i="23"/>
  <c r="AK9" i="23" s="1"/>
  <c r="AF10" i="23"/>
  <c r="AE10" i="23" s="1"/>
  <c r="AH10" i="23"/>
  <c r="AG10" i="23" s="1"/>
  <c r="AJ10" i="23"/>
  <c r="AI10" i="23" s="1"/>
  <c r="AL10" i="23"/>
  <c r="AK10" i="23" s="1"/>
  <c r="AF11" i="23"/>
  <c r="AE11" i="23" s="1"/>
  <c r="AH11" i="23"/>
  <c r="AG11" i="23" s="1"/>
  <c r="AJ11" i="23"/>
  <c r="AI11" i="23" s="1"/>
  <c r="AL11" i="23"/>
  <c r="AK11" i="23" s="1"/>
  <c r="AF12" i="23"/>
  <c r="AE12" i="23" s="1"/>
  <c r="AH12" i="23"/>
  <c r="AG12" i="23" s="1"/>
  <c r="AJ12" i="23"/>
  <c r="AI12" i="23" s="1"/>
  <c r="AL12" i="23"/>
  <c r="AK12" i="23" s="1"/>
  <c r="AF13" i="23"/>
  <c r="AE13" i="23" s="1"/>
  <c r="AH13" i="23"/>
  <c r="AG13" i="23" s="1"/>
  <c r="AJ13" i="23"/>
  <c r="AI13" i="23" s="1"/>
  <c r="AL13" i="23"/>
  <c r="AK13" i="23" s="1"/>
  <c r="AF14" i="23"/>
  <c r="AE14" i="23" s="1"/>
  <c r="AH14" i="23"/>
  <c r="AG14" i="23" s="1"/>
  <c r="AJ14" i="23"/>
  <c r="AI14" i="23" s="1"/>
  <c r="AL14" i="23"/>
  <c r="AK14" i="23" s="1"/>
  <c r="AF15" i="23"/>
  <c r="AE15" i="23" s="1"/>
  <c r="AH15" i="23"/>
  <c r="AG15" i="23" s="1"/>
  <c r="AJ15" i="23"/>
  <c r="AI15" i="23" s="1"/>
  <c r="AL15" i="23"/>
  <c r="AK15" i="23" s="1"/>
  <c r="AF16" i="23"/>
  <c r="AE16" i="23" s="1"/>
  <c r="AH16" i="23"/>
  <c r="AG16" i="23" s="1"/>
  <c r="AJ16" i="23"/>
  <c r="AI16" i="23" s="1"/>
  <c r="AL16" i="23"/>
  <c r="AK16" i="23" s="1"/>
  <c r="AF17" i="23"/>
  <c r="AE17" i="23" s="1"/>
  <c r="AH17" i="23"/>
  <c r="AG17" i="23" s="1"/>
  <c r="AJ17" i="23"/>
  <c r="AI17" i="23" s="1"/>
  <c r="AL17" i="23"/>
  <c r="AK17" i="23" s="1"/>
  <c r="AF18" i="23"/>
  <c r="AE18" i="23" s="1"/>
  <c r="AH18" i="23"/>
  <c r="AG18" i="23" s="1"/>
  <c r="AJ18" i="23"/>
  <c r="AI18" i="23" s="1"/>
  <c r="AL18" i="23"/>
  <c r="AK18" i="23" s="1"/>
  <c r="AF19" i="23"/>
  <c r="AE19" i="23" s="1"/>
  <c r="AH19" i="23"/>
  <c r="AG19" i="23" s="1"/>
  <c r="AJ19" i="23"/>
  <c r="AI19" i="23" s="1"/>
  <c r="AL19" i="23"/>
  <c r="AK19" i="23" s="1"/>
  <c r="AF20" i="23"/>
  <c r="AE20" i="23" s="1"/>
  <c r="AH20" i="23"/>
  <c r="AG20" i="23" s="1"/>
  <c r="AJ20" i="23"/>
  <c r="AI20" i="23" s="1"/>
  <c r="AL20" i="23"/>
  <c r="AK20" i="23" s="1"/>
  <c r="AF21" i="23"/>
  <c r="AE21" i="23" s="1"/>
  <c r="AH21" i="23"/>
  <c r="AG21" i="23" s="1"/>
  <c r="AJ21" i="23"/>
  <c r="AI21" i="23" s="1"/>
  <c r="AL21" i="23"/>
  <c r="AK21" i="23" s="1"/>
  <c r="AF22" i="23"/>
  <c r="AE22" i="23" s="1"/>
  <c r="AH22" i="23"/>
  <c r="AG22" i="23" s="1"/>
  <c r="AJ22" i="23"/>
  <c r="AI22" i="23" s="1"/>
  <c r="AL22" i="23"/>
  <c r="AK22" i="23" s="1"/>
  <c r="AF23" i="23"/>
  <c r="AE23" i="23" s="1"/>
  <c r="AH23" i="23"/>
  <c r="AG23" i="23" s="1"/>
  <c r="AJ23" i="23"/>
  <c r="AI23" i="23" s="1"/>
  <c r="AL23" i="23"/>
  <c r="AK23" i="23" s="1"/>
  <c r="AF24" i="23"/>
  <c r="AE24" i="23" s="1"/>
  <c r="AH24" i="23"/>
  <c r="AG24" i="23" s="1"/>
  <c r="AJ24" i="23"/>
  <c r="AI24" i="23" s="1"/>
  <c r="AL24" i="23"/>
  <c r="AK24" i="23" s="1"/>
  <c r="AF25" i="23"/>
  <c r="AE25" i="23" s="1"/>
  <c r="AH25" i="23"/>
  <c r="AG25" i="23" s="1"/>
  <c r="AJ25" i="23"/>
  <c r="AI25" i="23" s="1"/>
  <c r="AL25" i="23"/>
  <c r="AK25" i="23" s="1"/>
  <c r="AF26" i="23"/>
  <c r="AE26" i="23" s="1"/>
  <c r="AH26" i="23"/>
  <c r="AG26" i="23" s="1"/>
  <c r="AJ26" i="23"/>
  <c r="AI26" i="23" s="1"/>
  <c r="AL26" i="23"/>
  <c r="AK26" i="23" s="1"/>
  <c r="AF27" i="23"/>
  <c r="AE27" i="23" s="1"/>
  <c r="AH27" i="23"/>
  <c r="AG27" i="23" s="1"/>
  <c r="AJ27" i="23"/>
  <c r="AI27" i="23" s="1"/>
  <c r="AL27" i="23"/>
  <c r="AK27" i="23" s="1"/>
  <c r="AF28" i="23"/>
  <c r="AE28" i="23" s="1"/>
  <c r="AH28" i="23"/>
  <c r="AG28" i="23" s="1"/>
  <c r="AJ28" i="23"/>
  <c r="AI28" i="23" s="1"/>
  <c r="AL28" i="23"/>
  <c r="AK28" i="23" s="1"/>
  <c r="AF29" i="23"/>
  <c r="AE29" i="23" s="1"/>
  <c r="AH29" i="23"/>
  <c r="AG29" i="23" s="1"/>
  <c r="AJ29" i="23"/>
  <c r="AI29" i="23" s="1"/>
  <c r="AL29" i="23"/>
  <c r="AK29" i="23" s="1"/>
  <c r="AF30" i="23"/>
  <c r="AE30" i="23" s="1"/>
  <c r="AH30" i="23"/>
  <c r="AG30" i="23" s="1"/>
  <c r="AJ30" i="23"/>
  <c r="AI30" i="23" s="1"/>
  <c r="AL30" i="23"/>
  <c r="AK30" i="23" s="1"/>
  <c r="AF31" i="23"/>
  <c r="AE31" i="23" s="1"/>
  <c r="AH31" i="23"/>
  <c r="AG31" i="23" s="1"/>
  <c r="AJ31" i="23"/>
  <c r="AI31" i="23" s="1"/>
  <c r="AL31" i="23"/>
  <c r="AK31" i="23" s="1"/>
  <c r="AF9" i="24"/>
  <c r="AH9" i="24"/>
  <c r="AJ9" i="24"/>
  <c r="AI9" i="24" s="1"/>
  <c r="AL9" i="24"/>
  <c r="AK9" i="24" s="1"/>
  <c r="AF10" i="24"/>
  <c r="AH10" i="24"/>
  <c r="AJ10" i="24"/>
  <c r="AI10" i="24" s="1"/>
  <c r="AL10" i="24"/>
  <c r="AK10" i="24" s="1"/>
  <c r="AF11" i="24"/>
  <c r="AH11" i="24"/>
  <c r="AJ11" i="24"/>
  <c r="AI11" i="24" s="1"/>
  <c r="AL11" i="24"/>
  <c r="AK11" i="24" s="1"/>
  <c r="AF12" i="24"/>
  <c r="AH12" i="24"/>
  <c r="AJ12" i="24"/>
  <c r="AI12" i="24" s="1"/>
  <c r="AL12" i="24"/>
  <c r="AK12" i="24" s="1"/>
  <c r="AF13" i="24"/>
  <c r="AH13" i="24"/>
  <c r="AJ13" i="24"/>
  <c r="AI13" i="24" s="1"/>
  <c r="AL13" i="24"/>
  <c r="AK13" i="24" s="1"/>
  <c r="AF14" i="24"/>
  <c r="AH14" i="24"/>
  <c r="AJ14" i="24"/>
  <c r="AI14" i="24" s="1"/>
  <c r="AL14" i="24"/>
  <c r="AK14" i="24" s="1"/>
  <c r="AF15" i="24"/>
  <c r="AH15" i="24"/>
  <c r="AJ15" i="24"/>
  <c r="AI15" i="24" s="1"/>
  <c r="AL15" i="24"/>
  <c r="AK15" i="24" s="1"/>
  <c r="AF16" i="24"/>
  <c r="AE16" i="24" s="1"/>
  <c r="AH16" i="24"/>
  <c r="AG16" i="24" s="1"/>
  <c r="AJ16" i="24"/>
  <c r="AL16" i="24"/>
  <c r="AK16" i="24" s="1"/>
  <c r="AF17" i="24"/>
  <c r="AE17" i="24" s="1"/>
  <c r="AH17" i="24"/>
  <c r="AG17" i="24" s="1"/>
  <c r="AJ17" i="24"/>
  <c r="AL17" i="24"/>
  <c r="AF9" i="25"/>
  <c r="AH9" i="25"/>
  <c r="AJ9" i="25"/>
  <c r="AI9" i="25" s="1"/>
  <c r="AL9" i="25"/>
  <c r="AK9" i="25" s="1"/>
  <c r="AF10" i="25"/>
  <c r="AH10" i="25"/>
  <c r="AJ10" i="25"/>
  <c r="AI10" i="25" s="1"/>
  <c r="AL10" i="25"/>
  <c r="AK10" i="25" s="1"/>
  <c r="AF11" i="25"/>
  <c r="AH11" i="25"/>
  <c r="AJ11" i="25"/>
  <c r="AI11" i="25" s="1"/>
  <c r="AL11" i="25"/>
  <c r="AK11" i="25" s="1"/>
  <c r="AF12" i="25"/>
  <c r="AH12" i="25"/>
  <c r="AJ12" i="25"/>
  <c r="AI12" i="25" s="1"/>
  <c r="AL12" i="25"/>
  <c r="AK12" i="25" s="1"/>
  <c r="AF13" i="25"/>
  <c r="AH13" i="25"/>
  <c r="AJ13" i="25"/>
  <c r="AI13" i="25" s="1"/>
  <c r="AL13" i="25"/>
  <c r="AK13" i="25" s="1"/>
  <c r="AF14" i="25"/>
  <c r="AH14" i="25"/>
  <c r="AJ14" i="25"/>
  <c r="AI14" i="25" s="1"/>
  <c r="AL14" i="25"/>
  <c r="AK14" i="25" s="1"/>
  <c r="AF15" i="25"/>
  <c r="AH15" i="25"/>
  <c r="AJ15" i="25"/>
  <c r="AI15" i="25" s="1"/>
  <c r="AL15" i="25"/>
  <c r="AK15" i="25" s="1"/>
  <c r="AF16" i="25"/>
  <c r="AH16" i="25"/>
  <c r="AJ16" i="25"/>
  <c r="AI16" i="25" s="1"/>
  <c r="AL16" i="25"/>
  <c r="AK16" i="25" s="1"/>
  <c r="AF17" i="25"/>
  <c r="AH17" i="25"/>
  <c r="AJ17" i="25"/>
  <c r="AI17" i="25" s="1"/>
  <c r="AL17" i="25"/>
  <c r="AK17" i="25" s="1"/>
  <c r="AF18" i="25"/>
  <c r="AH18" i="25"/>
  <c r="AJ18" i="25"/>
  <c r="AI18" i="25" s="1"/>
  <c r="AL18" i="25"/>
  <c r="AK18" i="25" s="1"/>
  <c r="AF9" i="26"/>
  <c r="AH9" i="26"/>
  <c r="AJ9" i="26"/>
  <c r="AI9" i="26" s="1"/>
  <c r="AL9" i="26"/>
  <c r="AK9" i="26" s="1"/>
  <c r="AF10" i="26"/>
  <c r="AH10" i="26"/>
  <c r="AJ10" i="26"/>
  <c r="AI10" i="26" s="1"/>
  <c r="AL10" i="26"/>
  <c r="AK10" i="26" s="1"/>
  <c r="AF11" i="26"/>
  <c r="AH11" i="26"/>
  <c r="AJ11" i="26"/>
  <c r="AI11" i="26" s="1"/>
  <c r="AL11" i="26"/>
  <c r="AK11" i="26" s="1"/>
  <c r="AF12" i="26"/>
  <c r="AH12" i="26"/>
  <c r="AJ12" i="26"/>
  <c r="AI12" i="26" s="1"/>
  <c r="AL12" i="26"/>
  <c r="AK12" i="26" s="1"/>
  <c r="AF13" i="26"/>
  <c r="AH13" i="26"/>
  <c r="AJ13" i="26"/>
  <c r="AI13" i="26" s="1"/>
  <c r="AL13" i="26"/>
  <c r="AK13" i="26" s="1"/>
  <c r="AF14" i="26"/>
  <c r="AH14" i="26"/>
  <c r="AJ14" i="26"/>
  <c r="AI14" i="26" s="1"/>
  <c r="AL14" i="26"/>
  <c r="AK14" i="26" s="1"/>
  <c r="AF15" i="26"/>
  <c r="AH15" i="26"/>
  <c r="AJ15" i="26"/>
  <c r="AI15" i="26" s="1"/>
  <c r="AL15" i="26"/>
  <c r="AK15" i="26" s="1"/>
  <c r="AF16" i="26"/>
  <c r="AH16" i="26"/>
  <c r="AJ16" i="26"/>
  <c r="AI16" i="26" s="1"/>
  <c r="AL16" i="26"/>
  <c r="AK16" i="26" s="1"/>
  <c r="AF17" i="26"/>
  <c r="AH17" i="26"/>
  <c r="AJ17" i="26"/>
  <c r="AI17" i="26" s="1"/>
  <c r="AL17" i="26"/>
  <c r="AK17" i="26" s="1"/>
  <c r="AF18" i="26"/>
  <c r="AH18" i="26"/>
  <c r="AJ18" i="26"/>
  <c r="AI18" i="26" s="1"/>
  <c r="AL18" i="26"/>
  <c r="AK18" i="26" s="1"/>
  <c r="AF19" i="26"/>
  <c r="AH19" i="26"/>
  <c r="AG19" i="26" s="1"/>
  <c r="AJ19" i="26"/>
  <c r="AL19" i="26"/>
  <c r="AF20" i="26"/>
  <c r="AE20" i="26" s="1"/>
  <c r="AH20" i="26"/>
  <c r="AG20" i="26" s="1"/>
  <c r="AJ20" i="26"/>
  <c r="AI20" i="26" s="1"/>
  <c r="AL20" i="26"/>
  <c r="AK20" i="26" s="1"/>
  <c r="AF21" i="26"/>
  <c r="AE21" i="26" s="1"/>
  <c r="AH21" i="26"/>
  <c r="AG21" i="26" s="1"/>
  <c r="AJ21" i="26"/>
  <c r="AI21" i="26" s="1"/>
  <c r="AL21" i="26"/>
  <c r="AK21" i="26" s="1"/>
  <c r="AF22" i="26"/>
  <c r="AE22" i="26" s="1"/>
  <c r="AH22" i="26"/>
  <c r="AG22" i="26" s="1"/>
  <c r="AJ22" i="26"/>
  <c r="AI22" i="26" s="1"/>
  <c r="AL22" i="26"/>
  <c r="AK22" i="26" s="1"/>
  <c r="AF23" i="26"/>
  <c r="AE23" i="26" s="1"/>
  <c r="AH23" i="26"/>
  <c r="AG23" i="26" s="1"/>
  <c r="AJ23" i="26"/>
  <c r="AI23" i="26" s="1"/>
  <c r="AL23" i="26"/>
  <c r="AK23" i="26" s="1"/>
  <c r="AF24" i="26"/>
  <c r="AE24" i="26" s="1"/>
  <c r="AH24" i="26"/>
  <c r="AG24" i="26" s="1"/>
  <c r="AJ24" i="26"/>
  <c r="AI24" i="26" s="1"/>
  <c r="AL24" i="26"/>
  <c r="AK24" i="26" s="1"/>
  <c r="AF25" i="26"/>
  <c r="AE25" i="26" s="1"/>
  <c r="AH25" i="26"/>
  <c r="AG25" i="26" s="1"/>
  <c r="AJ25" i="26"/>
  <c r="AI25" i="26" s="1"/>
  <c r="AL25" i="26"/>
  <c r="AK25" i="26" s="1"/>
  <c r="AF26" i="26"/>
  <c r="AE26" i="26" s="1"/>
  <c r="AH26" i="26"/>
  <c r="AG26" i="26" s="1"/>
  <c r="AJ26" i="26"/>
  <c r="AI26" i="26" s="1"/>
  <c r="AL26" i="26"/>
  <c r="AK26" i="26" s="1"/>
  <c r="AF27" i="26"/>
  <c r="AE27" i="26" s="1"/>
  <c r="AH27" i="26"/>
  <c r="AG27" i="26" s="1"/>
  <c r="AJ27" i="26"/>
  <c r="AI27" i="26" s="1"/>
  <c r="AL27" i="26"/>
  <c r="AK27" i="26" s="1"/>
  <c r="AF28" i="26"/>
  <c r="AE28" i="26" s="1"/>
  <c r="AH28" i="26"/>
  <c r="AG28" i="26" s="1"/>
  <c r="AJ28" i="26"/>
  <c r="AI28" i="26" s="1"/>
  <c r="AL28" i="26"/>
  <c r="AK28" i="26" s="1"/>
  <c r="AF29" i="26"/>
  <c r="AE29" i="26" s="1"/>
  <c r="AH29" i="26"/>
  <c r="AG29" i="26" s="1"/>
  <c r="AJ29" i="26"/>
  <c r="AI29" i="26" s="1"/>
  <c r="AL29" i="26"/>
  <c r="AK29" i="26" s="1"/>
  <c r="AF30" i="26"/>
  <c r="AE30" i="26" s="1"/>
  <c r="AH30" i="26"/>
  <c r="AG30" i="26" s="1"/>
  <c r="AJ30" i="26"/>
  <c r="AI30" i="26" s="1"/>
  <c r="AL30" i="26"/>
  <c r="AK30" i="26" s="1"/>
  <c r="AF31" i="26"/>
  <c r="AE31" i="26" s="1"/>
  <c r="AH31" i="26"/>
  <c r="AG31" i="26" s="1"/>
  <c r="AJ31" i="26"/>
  <c r="AI31" i="26" s="1"/>
  <c r="AL31" i="26"/>
  <c r="AK31" i="26" s="1"/>
  <c r="AF32" i="26"/>
  <c r="AE32" i="26" s="1"/>
  <c r="AH32" i="26"/>
  <c r="AG32" i="26" s="1"/>
  <c r="AJ32" i="26"/>
  <c r="AI32" i="26" s="1"/>
  <c r="AL32" i="26"/>
  <c r="AK32" i="26" s="1"/>
  <c r="AF33" i="26"/>
  <c r="AE33" i="26" s="1"/>
  <c r="AH33" i="26"/>
  <c r="AG33" i="26" s="1"/>
  <c r="AJ33" i="26"/>
  <c r="AI33" i="26" s="1"/>
  <c r="AL33" i="26"/>
  <c r="AK33" i="26" s="1"/>
  <c r="AF34" i="26"/>
  <c r="AE34" i="26" s="1"/>
  <c r="AH34" i="26"/>
  <c r="AG34" i="26" s="1"/>
  <c r="AJ34" i="26"/>
  <c r="AI34" i="26" s="1"/>
  <c r="AL34" i="26"/>
  <c r="AK34" i="26" s="1"/>
  <c r="AF35" i="26"/>
  <c r="AE35" i="26" s="1"/>
  <c r="AH35" i="26"/>
  <c r="AG35" i="26" s="1"/>
  <c r="AJ35" i="26"/>
  <c r="AI35" i="26" s="1"/>
  <c r="AL35" i="26"/>
  <c r="AK35" i="26" s="1"/>
  <c r="AF36" i="26"/>
  <c r="AE36" i="26" s="1"/>
  <c r="AH36" i="26"/>
  <c r="AG36" i="26" s="1"/>
  <c r="AJ36" i="26"/>
  <c r="AI36" i="26" s="1"/>
  <c r="AL36" i="26"/>
  <c r="AK36" i="26" s="1"/>
  <c r="AF37" i="26"/>
  <c r="AE37" i="26" s="1"/>
  <c r="AH37" i="26"/>
  <c r="AG37" i="26" s="1"/>
  <c r="AJ37" i="26"/>
  <c r="AI37" i="26" s="1"/>
  <c r="AL37" i="26"/>
  <c r="AK37" i="26" s="1"/>
  <c r="AF38" i="26"/>
  <c r="AE38" i="26" s="1"/>
  <c r="AH38" i="26"/>
  <c r="AG38" i="26" s="1"/>
  <c r="AJ38" i="26"/>
  <c r="AI38" i="26" s="1"/>
  <c r="AL38" i="26"/>
  <c r="AK38" i="26" s="1"/>
  <c r="AF39" i="26"/>
  <c r="AE39" i="26" s="1"/>
  <c r="AH39" i="26"/>
  <c r="AG39" i="26" s="1"/>
  <c r="AJ39" i="26"/>
  <c r="AI39" i="26" s="1"/>
  <c r="AL39" i="26"/>
  <c r="AK39" i="26" s="1"/>
  <c r="AF40" i="26"/>
  <c r="AE40" i="26" s="1"/>
  <c r="AH40" i="26"/>
  <c r="AG40" i="26" s="1"/>
  <c r="AJ40" i="26"/>
  <c r="AI40" i="26" s="1"/>
  <c r="AL40" i="26"/>
  <c r="AK40" i="26" s="1"/>
  <c r="AF41" i="26"/>
  <c r="AE41" i="26" s="1"/>
  <c r="AH41" i="26"/>
  <c r="AG41" i="26" s="1"/>
  <c r="AJ41" i="26"/>
  <c r="AI41" i="26" s="1"/>
  <c r="AL41" i="26"/>
  <c r="AK41" i="26" s="1"/>
  <c r="AF42" i="26"/>
  <c r="AE42" i="26" s="1"/>
  <c r="AH42" i="26"/>
  <c r="AG42" i="26" s="1"/>
  <c r="AJ42" i="26"/>
  <c r="AI42" i="26" s="1"/>
  <c r="AL42" i="26"/>
  <c r="AK42" i="26" s="1"/>
  <c r="AF43" i="26"/>
  <c r="AE43" i="26" s="1"/>
  <c r="AH43" i="26"/>
  <c r="AG43" i="26" s="1"/>
  <c r="AJ43" i="26"/>
  <c r="AI43" i="26" s="1"/>
  <c r="AL43" i="26"/>
  <c r="AK43" i="26" s="1"/>
  <c r="AF44" i="26"/>
  <c r="AE44" i="26" s="1"/>
  <c r="AH44" i="26"/>
  <c r="AG44" i="26" s="1"/>
  <c r="AJ44" i="26"/>
  <c r="AI44" i="26" s="1"/>
  <c r="AL44" i="26"/>
  <c r="AK44" i="26" s="1"/>
  <c r="AF45" i="26"/>
  <c r="AE45" i="26" s="1"/>
  <c r="AH45" i="26"/>
  <c r="AG45" i="26" s="1"/>
  <c r="AJ45" i="26"/>
  <c r="AI45" i="26" s="1"/>
  <c r="AL45" i="26"/>
  <c r="AK45" i="26" s="1"/>
  <c r="AF46" i="26"/>
  <c r="AE46" i="26" s="1"/>
  <c r="AH46" i="26"/>
  <c r="AG46" i="26" s="1"/>
  <c r="AJ46" i="26"/>
  <c r="AI46" i="26" s="1"/>
  <c r="AL46" i="26"/>
  <c r="AK46" i="26" s="1"/>
  <c r="AF47" i="26"/>
  <c r="AE47" i="26" s="1"/>
  <c r="AH47" i="26"/>
  <c r="AG47" i="26" s="1"/>
  <c r="AJ47" i="26"/>
  <c r="AI47" i="26" s="1"/>
  <c r="AL47" i="26"/>
  <c r="AK47" i="26" s="1"/>
  <c r="AF48" i="26"/>
  <c r="AE48" i="26" s="1"/>
  <c r="AH48" i="26"/>
  <c r="AG48" i="26" s="1"/>
  <c r="AJ48" i="26"/>
  <c r="AI48" i="26" s="1"/>
  <c r="AL48" i="26"/>
  <c r="AK48" i="26" s="1"/>
  <c r="AF49" i="26"/>
  <c r="AE49" i="26" s="1"/>
  <c r="AH49" i="26"/>
  <c r="AG49" i="26" s="1"/>
  <c r="AJ49" i="26"/>
  <c r="AI49" i="26" s="1"/>
  <c r="AL49" i="26"/>
  <c r="AK49" i="26" s="1"/>
  <c r="AF50" i="26"/>
  <c r="AE50" i="26" s="1"/>
  <c r="AH50" i="26"/>
  <c r="AG50" i="26" s="1"/>
  <c r="AJ50" i="26"/>
  <c r="AI50" i="26" s="1"/>
  <c r="AL50" i="26"/>
  <c r="AK50" i="26" s="1"/>
  <c r="AF51" i="26"/>
  <c r="AE51" i="26" s="1"/>
  <c r="AH51" i="26"/>
  <c r="AG51" i="26" s="1"/>
  <c r="AJ51" i="26"/>
  <c r="AI51" i="26" s="1"/>
  <c r="AL51" i="26"/>
  <c r="AK51" i="26" s="1"/>
  <c r="AF52" i="26"/>
  <c r="AE52" i="26" s="1"/>
  <c r="AH52" i="26"/>
  <c r="AG52" i="26" s="1"/>
  <c r="AJ52" i="26"/>
  <c r="AI52" i="26" s="1"/>
  <c r="AL52" i="26"/>
  <c r="AK52" i="26" s="1"/>
  <c r="AF53" i="26"/>
  <c r="AE53" i="26" s="1"/>
  <c r="AH53" i="26"/>
  <c r="AG53" i="26" s="1"/>
  <c r="AJ53" i="26"/>
  <c r="AI53" i="26" s="1"/>
  <c r="AL53" i="26"/>
  <c r="AK53" i="26" s="1"/>
  <c r="AF54" i="26"/>
  <c r="AE54" i="26" s="1"/>
  <c r="AH54" i="26"/>
  <c r="AG54" i="26" s="1"/>
  <c r="AJ54" i="26"/>
  <c r="AI54" i="26" s="1"/>
  <c r="AL54" i="26"/>
  <c r="AK54" i="26" s="1"/>
  <c r="AF55" i="26"/>
  <c r="AE55" i="26" s="1"/>
  <c r="AH55" i="26"/>
  <c r="AG55" i="26" s="1"/>
  <c r="AJ55" i="26"/>
  <c r="AI55" i="26" s="1"/>
  <c r="AL55" i="26"/>
  <c r="AK55" i="26" s="1"/>
  <c r="AF56" i="26"/>
  <c r="AE56" i="26" s="1"/>
  <c r="AH56" i="26"/>
  <c r="AG56" i="26" s="1"/>
  <c r="AJ56" i="26"/>
  <c r="AI56" i="26" s="1"/>
  <c r="AL56" i="26"/>
  <c r="AK56" i="26" s="1"/>
  <c r="AF57" i="26"/>
  <c r="AE57" i="26" s="1"/>
  <c r="AH57" i="26"/>
  <c r="AG57" i="26" s="1"/>
  <c r="AJ57" i="26"/>
  <c r="AI57" i="26" s="1"/>
  <c r="AL57" i="26"/>
  <c r="AK57" i="26" s="1"/>
  <c r="AF58" i="26"/>
  <c r="AE58" i="26" s="1"/>
  <c r="AH58" i="26"/>
  <c r="AG58" i="26" s="1"/>
  <c r="AJ58" i="26"/>
  <c r="AI58" i="26" s="1"/>
  <c r="AL58" i="26"/>
  <c r="AK58" i="26" s="1"/>
  <c r="AF59" i="26"/>
  <c r="AE59" i="26" s="1"/>
  <c r="AH59" i="26"/>
  <c r="AG59" i="26" s="1"/>
  <c r="AJ59" i="26"/>
  <c r="AI59" i="26" s="1"/>
  <c r="AL59" i="26"/>
  <c r="AK59" i="26" s="1"/>
  <c r="AF60" i="26"/>
  <c r="AE60" i="26" s="1"/>
  <c r="AH60" i="26"/>
  <c r="AG60" i="26" s="1"/>
  <c r="AJ60" i="26"/>
  <c r="AI60" i="26" s="1"/>
  <c r="AL60" i="26"/>
  <c r="AK60" i="26" s="1"/>
  <c r="AF61" i="26"/>
  <c r="AE61" i="26" s="1"/>
  <c r="AH61" i="26"/>
  <c r="AG61" i="26" s="1"/>
  <c r="AJ61" i="26"/>
  <c r="AI61" i="26" s="1"/>
  <c r="AL61" i="26"/>
  <c r="AK61" i="26" s="1"/>
  <c r="AF62" i="26"/>
  <c r="AE62" i="26" s="1"/>
  <c r="AH62" i="26"/>
  <c r="AG62" i="26" s="1"/>
  <c r="AJ62" i="26"/>
  <c r="AI62" i="26" s="1"/>
  <c r="AL62" i="26"/>
  <c r="AK62" i="26" s="1"/>
  <c r="AF63" i="26"/>
  <c r="AE63" i="26" s="1"/>
  <c r="AH63" i="26"/>
  <c r="AG63" i="26" s="1"/>
  <c r="AJ63" i="26"/>
  <c r="AI63" i="26" s="1"/>
  <c r="AL63" i="26"/>
  <c r="AK63" i="26" s="1"/>
  <c r="AF64" i="26"/>
  <c r="AE64" i="26" s="1"/>
  <c r="AH64" i="26"/>
  <c r="AG64" i="26" s="1"/>
  <c r="AJ64" i="26"/>
  <c r="AI64" i="26" s="1"/>
  <c r="AL64" i="26"/>
  <c r="AK64" i="26" s="1"/>
  <c r="AF65" i="26"/>
  <c r="AE65" i="26" s="1"/>
  <c r="AH65" i="26"/>
  <c r="AG65" i="26" s="1"/>
  <c r="AJ65" i="26"/>
  <c r="AI65" i="26" s="1"/>
  <c r="AL65" i="26"/>
  <c r="AK65" i="26" s="1"/>
  <c r="AF66" i="26"/>
  <c r="AE66" i="26" s="1"/>
  <c r="AH66" i="26"/>
  <c r="AG66" i="26" s="1"/>
  <c r="AJ66" i="26"/>
  <c r="AI66" i="26" s="1"/>
  <c r="AL66" i="26"/>
  <c r="AK66" i="26" s="1"/>
  <c r="AF67" i="26"/>
  <c r="AE67" i="26" s="1"/>
  <c r="AH67" i="26"/>
  <c r="AG67" i="26" s="1"/>
  <c r="AJ67" i="26"/>
  <c r="AI67" i="26" s="1"/>
  <c r="AL67" i="26"/>
  <c r="AK67" i="26" s="1"/>
  <c r="AF68" i="26"/>
  <c r="AE68" i="26" s="1"/>
  <c r="AH68" i="26"/>
  <c r="AG68" i="26" s="1"/>
  <c r="AJ68" i="26"/>
  <c r="AI68" i="26" s="1"/>
  <c r="AL68" i="26"/>
  <c r="AK68" i="26" s="1"/>
  <c r="AF69" i="26"/>
  <c r="AE69" i="26" s="1"/>
  <c r="AH69" i="26"/>
  <c r="AG69" i="26" s="1"/>
  <c r="AJ69" i="26"/>
  <c r="AI69" i="26" s="1"/>
  <c r="AL69" i="26"/>
  <c r="AK69" i="26" s="1"/>
  <c r="AF70" i="26"/>
  <c r="AE70" i="26" s="1"/>
  <c r="AH70" i="26"/>
  <c r="AG70" i="26" s="1"/>
  <c r="AJ70" i="26"/>
  <c r="AI70" i="26" s="1"/>
  <c r="AL70" i="26"/>
  <c r="AK70" i="26" s="1"/>
  <c r="AF71" i="26"/>
  <c r="AE71" i="26" s="1"/>
  <c r="AH71" i="26"/>
  <c r="AG71" i="26" s="1"/>
  <c r="AJ71" i="26"/>
  <c r="AI71" i="26" s="1"/>
  <c r="AL71" i="26"/>
  <c r="AK71" i="26" s="1"/>
  <c r="AF72" i="26"/>
  <c r="AE72" i="26" s="1"/>
  <c r="AH72" i="26"/>
  <c r="AG72" i="26" s="1"/>
  <c r="AJ72" i="26"/>
  <c r="AI72" i="26" s="1"/>
  <c r="AL72" i="26"/>
  <c r="AK72" i="26" s="1"/>
  <c r="AF73" i="26"/>
  <c r="AE73" i="26" s="1"/>
  <c r="AH73" i="26"/>
  <c r="AG73" i="26" s="1"/>
  <c r="AJ73" i="26"/>
  <c r="AI73" i="26" s="1"/>
  <c r="AL73" i="26"/>
  <c r="AK73" i="26" s="1"/>
  <c r="AF74" i="26"/>
  <c r="AE74" i="26" s="1"/>
  <c r="AH74" i="26"/>
  <c r="AG74" i="26" s="1"/>
  <c r="AJ74" i="26"/>
  <c r="AI74" i="26" s="1"/>
  <c r="AL74" i="26"/>
  <c r="AK74" i="26" s="1"/>
  <c r="AF75" i="26"/>
  <c r="AE75" i="26" s="1"/>
  <c r="AH75" i="26"/>
  <c r="AG75" i="26" s="1"/>
  <c r="AJ75" i="26"/>
  <c r="AI75" i="26" s="1"/>
  <c r="AL75" i="26"/>
  <c r="AK75" i="26" s="1"/>
  <c r="AF76" i="26"/>
  <c r="AE76" i="26" s="1"/>
  <c r="AH76" i="26"/>
  <c r="AG76" i="26" s="1"/>
  <c r="AJ76" i="26"/>
  <c r="AI76" i="26" s="1"/>
  <c r="AL76" i="26"/>
  <c r="AK76" i="26" s="1"/>
  <c r="AF77" i="26"/>
  <c r="AE77" i="26" s="1"/>
  <c r="AH77" i="26"/>
  <c r="AG77" i="26" s="1"/>
  <c r="AJ77" i="26"/>
  <c r="AI77" i="26" s="1"/>
  <c r="AL77" i="26"/>
  <c r="AK77" i="26" s="1"/>
  <c r="AF78" i="26"/>
  <c r="AE78" i="26" s="1"/>
  <c r="AH78" i="26"/>
  <c r="AG78" i="26" s="1"/>
  <c r="AJ78" i="26"/>
  <c r="AI78" i="26" s="1"/>
  <c r="AL78" i="26"/>
  <c r="AK78" i="26" s="1"/>
  <c r="AF79" i="26"/>
  <c r="AE79" i="26" s="1"/>
  <c r="AH79" i="26"/>
  <c r="AG79" i="26" s="1"/>
  <c r="AJ79" i="26"/>
  <c r="AI79" i="26" s="1"/>
  <c r="AL79" i="26"/>
  <c r="AK79" i="26" s="1"/>
  <c r="AF80" i="26"/>
  <c r="AE80" i="26" s="1"/>
  <c r="AH80" i="26"/>
  <c r="AG80" i="26" s="1"/>
  <c r="AJ80" i="26"/>
  <c r="AI80" i="26" s="1"/>
  <c r="AL80" i="26"/>
  <c r="AK80" i="26" s="1"/>
  <c r="AF81" i="26"/>
  <c r="AE81" i="26" s="1"/>
  <c r="AH81" i="26"/>
  <c r="AG81" i="26" s="1"/>
  <c r="AJ81" i="26"/>
  <c r="AI81" i="26" s="1"/>
  <c r="AL81" i="26"/>
  <c r="AK81" i="26" s="1"/>
  <c r="AF82" i="26"/>
  <c r="AE82" i="26" s="1"/>
  <c r="AH82" i="26"/>
  <c r="AG82" i="26" s="1"/>
  <c r="AJ82" i="26"/>
  <c r="AI82" i="26" s="1"/>
  <c r="AL82" i="26"/>
  <c r="AK82" i="26" s="1"/>
  <c r="AF83" i="26"/>
  <c r="AE83" i="26" s="1"/>
  <c r="AH83" i="26"/>
  <c r="AG83" i="26" s="1"/>
  <c r="AJ83" i="26"/>
  <c r="AI83" i="26" s="1"/>
  <c r="AL83" i="26"/>
  <c r="AK83" i="26" s="1"/>
  <c r="AF84" i="26"/>
  <c r="AE84" i="26" s="1"/>
  <c r="AH84" i="26"/>
  <c r="AG84" i="26" s="1"/>
  <c r="AJ84" i="26"/>
  <c r="AI84" i="26" s="1"/>
  <c r="AL84" i="26"/>
  <c r="AK84" i="26" s="1"/>
  <c r="AF85" i="26"/>
  <c r="AE85" i="26" s="1"/>
  <c r="AH85" i="26"/>
  <c r="AG85" i="26" s="1"/>
  <c r="AJ85" i="26"/>
  <c r="AI85" i="26" s="1"/>
  <c r="AL85" i="26"/>
  <c r="AK85" i="26" s="1"/>
  <c r="AF86" i="26"/>
  <c r="AE86" i="26" s="1"/>
  <c r="AH86" i="26"/>
  <c r="AG86" i="26" s="1"/>
  <c r="AJ86" i="26"/>
  <c r="AI86" i="26" s="1"/>
  <c r="AL86" i="26"/>
  <c r="AK86" i="26" s="1"/>
  <c r="AF87" i="26"/>
  <c r="AE87" i="26" s="1"/>
  <c r="AH87" i="26"/>
  <c r="AG87" i="26" s="1"/>
  <c r="AJ87" i="26"/>
  <c r="AI87" i="26" s="1"/>
  <c r="AL87" i="26"/>
  <c r="AK87" i="26" s="1"/>
  <c r="AF88" i="26"/>
  <c r="AE88" i="26" s="1"/>
  <c r="AH88" i="26"/>
  <c r="AG88" i="26" s="1"/>
  <c r="AJ88" i="26"/>
  <c r="AI88" i="26" s="1"/>
  <c r="AL88" i="26"/>
  <c r="AK88" i="26" s="1"/>
  <c r="AF89" i="26"/>
  <c r="AE89" i="26" s="1"/>
  <c r="AH89" i="26"/>
  <c r="AG89" i="26" s="1"/>
  <c r="AJ89" i="26"/>
  <c r="AI89" i="26" s="1"/>
  <c r="AL89" i="26"/>
  <c r="AK89" i="26" s="1"/>
  <c r="AF90" i="26"/>
  <c r="AE90" i="26" s="1"/>
  <c r="AH90" i="26"/>
  <c r="AG90" i="26" s="1"/>
  <c r="AJ90" i="26"/>
  <c r="AI90" i="26" s="1"/>
  <c r="AL90" i="26"/>
  <c r="AK90" i="26" s="1"/>
  <c r="AF91" i="26"/>
  <c r="AE91" i="26" s="1"/>
  <c r="AH91" i="26"/>
  <c r="AG91" i="26" s="1"/>
  <c r="AJ91" i="26"/>
  <c r="AI91" i="26" s="1"/>
  <c r="AL91" i="26"/>
  <c r="AK91" i="26" s="1"/>
  <c r="AF92" i="26"/>
  <c r="AE92" i="26" s="1"/>
  <c r="AH92" i="26"/>
  <c r="AG92" i="26" s="1"/>
  <c r="AJ92" i="26"/>
  <c r="AI92" i="26" s="1"/>
  <c r="AL92" i="26"/>
  <c r="AK92" i="26" s="1"/>
  <c r="AF93" i="26"/>
  <c r="AE93" i="26" s="1"/>
  <c r="AH93" i="26"/>
  <c r="AG93" i="26" s="1"/>
  <c r="AJ93" i="26"/>
  <c r="AI93" i="26" s="1"/>
  <c r="AL93" i="26"/>
  <c r="AK93" i="26" s="1"/>
  <c r="AF94" i="26"/>
  <c r="AE94" i="26" s="1"/>
  <c r="AH94" i="26"/>
  <c r="AG94" i="26" s="1"/>
  <c r="AJ94" i="26"/>
  <c r="AI94" i="26" s="1"/>
  <c r="AL94" i="26"/>
  <c r="AK94" i="26" s="1"/>
  <c r="AF95" i="26"/>
  <c r="AE95" i="26" s="1"/>
  <c r="AH95" i="26"/>
  <c r="AG95" i="26" s="1"/>
  <c r="AJ95" i="26"/>
  <c r="AI95" i="26" s="1"/>
  <c r="AL95" i="26"/>
  <c r="AK95" i="26" s="1"/>
  <c r="AF96" i="26"/>
  <c r="AE96" i="26" s="1"/>
  <c r="AH96" i="26"/>
  <c r="AG96" i="26" s="1"/>
  <c r="AJ96" i="26"/>
  <c r="AI96" i="26" s="1"/>
  <c r="AL96" i="26"/>
  <c r="AK96" i="26" s="1"/>
  <c r="AF97" i="26"/>
  <c r="AE97" i="26" s="1"/>
  <c r="AH97" i="26"/>
  <c r="AG97" i="26" s="1"/>
  <c r="AJ97" i="26"/>
  <c r="AI97" i="26" s="1"/>
  <c r="AL97" i="26"/>
  <c r="AK97" i="26" s="1"/>
  <c r="AF98" i="26"/>
  <c r="AE98" i="26" s="1"/>
  <c r="AH98" i="26"/>
  <c r="AG98" i="26" s="1"/>
  <c r="AJ98" i="26"/>
  <c r="AI98" i="26" s="1"/>
  <c r="AL98" i="26"/>
  <c r="AK98" i="26" s="1"/>
  <c r="AF99" i="26"/>
  <c r="AE99" i="26" s="1"/>
  <c r="AH99" i="26"/>
  <c r="AG99" i="26" s="1"/>
  <c r="AJ99" i="26"/>
  <c r="AI99" i="26" s="1"/>
  <c r="AL99" i="26"/>
  <c r="AK99" i="26" s="1"/>
  <c r="AF100" i="26"/>
  <c r="AE100" i="26" s="1"/>
  <c r="AH100" i="26"/>
  <c r="AG100" i="26" s="1"/>
  <c r="AJ100" i="26"/>
  <c r="AI100" i="26" s="1"/>
  <c r="AL100" i="26"/>
  <c r="AK100" i="26" s="1"/>
  <c r="AF101" i="26"/>
  <c r="AE101" i="26" s="1"/>
  <c r="AH101" i="26"/>
  <c r="AG101" i="26" s="1"/>
  <c r="AJ101" i="26"/>
  <c r="AI101" i="26" s="1"/>
  <c r="AL101" i="26"/>
  <c r="AK101" i="26" s="1"/>
  <c r="AF102" i="26"/>
  <c r="AE102" i="26" s="1"/>
  <c r="AH102" i="26"/>
  <c r="AG102" i="26" s="1"/>
  <c r="AJ102" i="26"/>
  <c r="AI102" i="26" s="1"/>
  <c r="AL102" i="26"/>
  <c r="AK102" i="26" s="1"/>
  <c r="AF103" i="26"/>
  <c r="AE103" i="26" s="1"/>
  <c r="AH103" i="26"/>
  <c r="AG103" i="26" s="1"/>
  <c r="AJ103" i="26"/>
  <c r="AI103" i="26" s="1"/>
  <c r="AL103" i="26"/>
  <c r="AK103" i="26" s="1"/>
  <c r="AF104" i="26"/>
  <c r="AE104" i="26" s="1"/>
  <c r="AH104" i="26"/>
  <c r="AG104" i="26" s="1"/>
  <c r="AJ104" i="26"/>
  <c r="AI104" i="26" s="1"/>
  <c r="AL104" i="26"/>
  <c r="AK104" i="26" s="1"/>
  <c r="AF105" i="26"/>
  <c r="AE105" i="26" s="1"/>
  <c r="AH105" i="26"/>
  <c r="AG105" i="26" s="1"/>
  <c r="AJ105" i="26"/>
  <c r="AI105" i="26" s="1"/>
  <c r="AL105" i="26"/>
  <c r="AK105" i="26" s="1"/>
  <c r="AF106" i="26"/>
  <c r="AE106" i="26" s="1"/>
  <c r="AH106" i="26"/>
  <c r="AG106" i="26" s="1"/>
  <c r="AJ106" i="26"/>
  <c r="AI106" i="26" s="1"/>
  <c r="AL106" i="26"/>
  <c r="AK106" i="26" s="1"/>
  <c r="AF107" i="26"/>
  <c r="AE107" i="26" s="1"/>
  <c r="AH107" i="26"/>
  <c r="AG107" i="26" s="1"/>
  <c r="AJ107" i="26"/>
  <c r="AI107" i="26" s="1"/>
  <c r="AL107" i="26"/>
  <c r="AK107" i="26" s="1"/>
  <c r="AF108" i="26"/>
  <c r="AE108" i="26" s="1"/>
  <c r="AH108" i="26"/>
  <c r="AG108" i="26" s="1"/>
  <c r="AJ108" i="26"/>
  <c r="AI108" i="26" s="1"/>
  <c r="AL108" i="26"/>
  <c r="AK108" i="26" s="1"/>
  <c r="AF109" i="26"/>
  <c r="AE109" i="26" s="1"/>
  <c r="AH109" i="26"/>
  <c r="AG109" i="26" s="1"/>
  <c r="AJ109" i="26"/>
  <c r="AI109" i="26" s="1"/>
  <c r="AL109" i="26"/>
  <c r="AK109" i="26" s="1"/>
  <c r="AF110" i="26"/>
  <c r="AE110" i="26" s="1"/>
  <c r="AH110" i="26"/>
  <c r="AG110" i="26" s="1"/>
  <c r="AJ110" i="26"/>
  <c r="AI110" i="26" s="1"/>
  <c r="AL110" i="26"/>
  <c r="AK110" i="26" s="1"/>
  <c r="AF111" i="26"/>
  <c r="AE111" i="26" s="1"/>
  <c r="AH111" i="26"/>
  <c r="AG111" i="26" s="1"/>
  <c r="AJ111" i="26"/>
  <c r="AI111" i="26" s="1"/>
  <c r="AL111" i="26"/>
  <c r="AK111" i="26" s="1"/>
  <c r="AF112" i="26"/>
  <c r="AE112" i="26" s="1"/>
  <c r="AH112" i="26"/>
  <c r="AG112" i="26" s="1"/>
  <c r="AJ112" i="26"/>
  <c r="AI112" i="26" s="1"/>
  <c r="AL112" i="26"/>
  <c r="AK112" i="26" s="1"/>
  <c r="AF113" i="26"/>
  <c r="AE113" i="26" s="1"/>
  <c r="AH113" i="26"/>
  <c r="AG113" i="26" s="1"/>
  <c r="AJ113" i="26"/>
  <c r="AI113" i="26" s="1"/>
  <c r="AL113" i="26"/>
  <c r="AK113" i="26" s="1"/>
  <c r="AF114" i="26"/>
  <c r="AE114" i="26" s="1"/>
  <c r="AH114" i="26"/>
  <c r="AG114" i="26" s="1"/>
  <c r="AJ114" i="26"/>
  <c r="AI114" i="26" s="1"/>
  <c r="AL114" i="26"/>
  <c r="AK114" i="26" s="1"/>
  <c r="AF115" i="26"/>
  <c r="AE115" i="26" s="1"/>
  <c r="AH115" i="26"/>
  <c r="AG115" i="26" s="1"/>
  <c r="AJ115" i="26"/>
  <c r="AI115" i="26" s="1"/>
  <c r="AL115" i="26"/>
  <c r="AK115" i="26" s="1"/>
  <c r="AF116" i="26"/>
  <c r="AE116" i="26" s="1"/>
  <c r="AH116" i="26"/>
  <c r="AG116" i="26" s="1"/>
  <c r="AJ116" i="26"/>
  <c r="AI116" i="26" s="1"/>
  <c r="AL116" i="26"/>
  <c r="AK116" i="26" s="1"/>
  <c r="AF117" i="26"/>
  <c r="AE117" i="26" s="1"/>
  <c r="AH117" i="26"/>
  <c r="AG117" i="26" s="1"/>
  <c r="AJ117" i="26"/>
  <c r="AI117" i="26" s="1"/>
  <c r="AL117" i="26"/>
  <c r="AK117" i="26" s="1"/>
  <c r="AF118" i="26"/>
  <c r="AE118" i="26" s="1"/>
  <c r="AH118" i="26"/>
  <c r="AG118" i="26" s="1"/>
  <c r="AJ118" i="26"/>
  <c r="AI118" i="26" s="1"/>
  <c r="AL118" i="26"/>
  <c r="AK118" i="26" s="1"/>
  <c r="AF119" i="26"/>
  <c r="AE119" i="26" s="1"/>
  <c r="AH119" i="26"/>
  <c r="AG119" i="26" s="1"/>
  <c r="AJ119" i="26"/>
  <c r="AI119" i="26" s="1"/>
  <c r="AL119" i="26"/>
  <c r="AK119" i="26" s="1"/>
  <c r="AF120" i="26"/>
  <c r="AE120" i="26" s="1"/>
  <c r="AH120" i="26"/>
  <c r="AG120" i="26" s="1"/>
  <c r="AJ120" i="26"/>
  <c r="AI120" i="26" s="1"/>
  <c r="AL120" i="26"/>
  <c r="AK120" i="26" s="1"/>
  <c r="AF121" i="26"/>
  <c r="AE121" i="26" s="1"/>
  <c r="AH121" i="26"/>
  <c r="AG121" i="26" s="1"/>
  <c r="AJ121" i="26"/>
  <c r="AI121" i="26" s="1"/>
  <c r="AL121" i="26"/>
  <c r="AK121" i="26" s="1"/>
  <c r="AF122" i="26"/>
  <c r="AE122" i="26" s="1"/>
  <c r="AH122" i="26"/>
  <c r="AG122" i="26" s="1"/>
  <c r="AJ122" i="26"/>
  <c r="AI122" i="26" s="1"/>
  <c r="AL122" i="26"/>
  <c r="AK122" i="26" s="1"/>
  <c r="AF123" i="26"/>
  <c r="AE123" i="26" s="1"/>
  <c r="AH123" i="26"/>
  <c r="AG123" i="26" s="1"/>
  <c r="AJ123" i="26"/>
  <c r="AI123" i="26" s="1"/>
  <c r="AL123" i="26"/>
  <c r="AK123" i="26" s="1"/>
  <c r="AF124" i="26"/>
  <c r="AE124" i="26" s="1"/>
  <c r="AH124" i="26"/>
  <c r="AG124" i="26" s="1"/>
  <c r="AJ124" i="26"/>
  <c r="AI124" i="26" s="1"/>
  <c r="AL124" i="26"/>
  <c r="AK124" i="26" s="1"/>
  <c r="AF125" i="26"/>
  <c r="AE125" i="26" s="1"/>
  <c r="AH125" i="26"/>
  <c r="AG125" i="26" s="1"/>
  <c r="AJ125" i="26"/>
  <c r="AI125" i="26" s="1"/>
  <c r="AL125" i="26"/>
  <c r="AK125" i="26" s="1"/>
  <c r="AF126" i="26"/>
  <c r="AE126" i="26" s="1"/>
  <c r="AH126" i="26"/>
  <c r="AG126" i="26" s="1"/>
  <c r="AJ126" i="26"/>
  <c r="AI126" i="26" s="1"/>
  <c r="AL126" i="26"/>
  <c r="AK126" i="26" s="1"/>
  <c r="AF127" i="26"/>
  <c r="AE127" i="26" s="1"/>
  <c r="AH127" i="26"/>
  <c r="AG127" i="26" s="1"/>
  <c r="AJ127" i="26"/>
  <c r="AI127" i="26" s="1"/>
  <c r="AL127" i="26"/>
  <c r="AK127" i="26" s="1"/>
  <c r="AF128" i="26"/>
  <c r="AE128" i="26" s="1"/>
  <c r="AH128" i="26"/>
  <c r="AG128" i="26" s="1"/>
  <c r="AJ128" i="26"/>
  <c r="AI128" i="26" s="1"/>
  <c r="AL128" i="26"/>
  <c r="AK128" i="26" s="1"/>
  <c r="AF129" i="26"/>
  <c r="AE129" i="26" s="1"/>
  <c r="AH129" i="26"/>
  <c r="AG129" i="26" s="1"/>
  <c r="AJ129" i="26"/>
  <c r="AI129" i="26" s="1"/>
  <c r="AL129" i="26"/>
  <c r="AK129" i="26" s="1"/>
  <c r="AF130" i="26"/>
  <c r="AE130" i="26" s="1"/>
  <c r="AH130" i="26"/>
  <c r="AG130" i="26" s="1"/>
  <c r="AJ130" i="26"/>
  <c r="AI130" i="26" s="1"/>
  <c r="AL130" i="26"/>
  <c r="AK130" i="26" s="1"/>
  <c r="AF131" i="26"/>
  <c r="AE131" i="26" s="1"/>
  <c r="AH131" i="26"/>
  <c r="AG131" i="26" s="1"/>
  <c r="AJ131" i="26"/>
  <c r="AI131" i="26" s="1"/>
  <c r="AL131" i="26"/>
  <c r="AK131" i="26" s="1"/>
  <c r="AF132" i="26"/>
  <c r="AE132" i="26" s="1"/>
  <c r="AH132" i="26"/>
  <c r="AG132" i="26" s="1"/>
  <c r="AJ132" i="26"/>
  <c r="AI132" i="26" s="1"/>
  <c r="AL132" i="26"/>
  <c r="AK132" i="26" s="1"/>
  <c r="AF133" i="26"/>
  <c r="AE133" i="26" s="1"/>
  <c r="AH133" i="26"/>
  <c r="AG133" i="26" s="1"/>
  <c r="AJ133" i="26"/>
  <c r="AI133" i="26" s="1"/>
  <c r="AL133" i="26"/>
  <c r="AK133" i="26" s="1"/>
  <c r="AF134" i="26"/>
  <c r="AE134" i="26" s="1"/>
  <c r="AH134" i="26"/>
  <c r="AG134" i="26" s="1"/>
  <c r="AJ134" i="26"/>
  <c r="AI134" i="26" s="1"/>
  <c r="AL134" i="26"/>
  <c r="AK134" i="26" s="1"/>
  <c r="AF135" i="26"/>
  <c r="AE135" i="26" s="1"/>
  <c r="AH135" i="26"/>
  <c r="AG135" i="26" s="1"/>
  <c r="AJ135" i="26"/>
  <c r="AI135" i="26" s="1"/>
  <c r="AL135" i="26"/>
  <c r="AK135" i="26" s="1"/>
  <c r="AF136" i="26"/>
  <c r="AE136" i="26" s="1"/>
  <c r="AH136" i="26"/>
  <c r="AG136" i="26" s="1"/>
  <c r="AJ136" i="26"/>
  <c r="AI136" i="26" s="1"/>
  <c r="AL136" i="26"/>
  <c r="AK136" i="26" s="1"/>
  <c r="AF137" i="26"/>
  <c r="AE137" i="26" s="1"/>
  <c r="AH137" i="26"/>
  <c r="AG137" i="26" s="1"/>
  <c r="AJ137" i="26"/>
  <c r="AI137" i="26" s="1"/>
  <c r="AL137" i="26"/>
  <c r="AK137" i="26" s="1"/>
  <c r="AF138" i="26"/>
  <c r="AE138" i="26" s="1"/>
  <c r="AH138" i="26"/>
  <c r="AG138" i="26" s="1"/>
  <c r="AJ138" i="26"/>
  <c r="AI138" i="26" s="1"/>
  <c r="AL138" i="26"/>
  <c r="AK138" i="26" s="1"/>
  <c r="AF139" i="26"/>
  <c r="AE139" i="26" s="1"/>
  <c r="AH139" i="26"/>
  <c r="AG139" i="26" s="1"/>
  <c r="AJ139" i="26"/>
  <c r="AI139" i="26" s="1"/>
  <c r="AL139" i="26"/>
  <c r="AK139" i="26" s="1"/>
  <c r="AF140" i="26"/>
  <c r="AE140" i="26" s="1"/>
  <c r="AH140" i="26"/>
  <c r="AG140" i="26" s="1"/>
  <c r="AJ140" i="26"/>
  <c r="AI140" i="26" s="1"/>
  <c r="AL140" i="26"/>
  <c r="AK140" i="26" s="1"/>
  <c r="AF141" i="26"/>
  <c r="AE141" i="26" s="1"/>
  <c r="AH141" i="26"/>
  <c r="AG141" i="26" s="1"/>
  <c r="AJ141" i="26"/>
  <c r="AI141" i="26" s="1"/>
  <c r="AL141" i="26"/>
  <c r="AK141" i="26" s="1"/>
  <c r="AF142" i="26"/>
  <c r="AE142" i="26" s="1"/>
  <c r="AH142" i="26"/>
  <c r="AG142" i="26" s="1"/>
  <c r="AJ142" i="26"/>
  <c r="AI142" i="26" s="1"/>
  <c r="AL142" i="26"/>
  <c r="AK142" i="26" s="1"/>
  <c r="AF143" i="26"/>
  <c r="AE143" i="26" s="1"/>
  <c r="AH143" i="26"/>
  <c r="AG143" i="26" s="1"/>
  <c r="AJ143" i="26"/>
  <c r="AI143" i="26" s="1"/>
  <c r="AL143" i="26"/>
  <c r="AK143" i="26" s="1"/>
  <c r="AF144" i="26"/>
  <c r="AE144" i="26" s="1"/>
  <c r="AH144" i="26"/>
  <c r="AG144" i="26" s="1"/>
  <c r="AJ144" i="26"/>
  <c r="AI144" i="26" s="1"/>
  <c r="AL144" i="26"/>
  <c r="AK144" i="26" s="1"/>
  <c r="AF145" i="26"/>
  <c r="AE145" i="26" s="1"/>
  <c r="AH145" i="26"/>
  <c r="AG145" i="26" s="1"/>
  <c r="AJ145" i="26"/>
  <c r="AI145" i="26" s="1"/>
  <c r="AL145" i="26"/>
  <c r="AK145" i="26" s="1"/>
  <c r="AF146" i="26"/>
  <c r="AE146" i="26" s="1"/>
  <c r="AH146" i="26"/>
  <c r="AG146" i="26" s="1"/>
  <c r="AJ146" i="26"/>
  <c r="AI146" i="26" s="1"/>
  <c r="AL146" i="26"/>
  <c r="AK146" i="26" s="1"/>
  <c r="AF147" i="26"/>
  <c r="AE147" i="26" s="1"/>
  <c r="AH147" i="26"/>
  <c r="AG147" i="26" s="1"/>
  <c r="AJ147" i="26"/>
  <c r="AI147" i="26" s="1"/>
  <c r="AL147" i="26"/>
  <c r="AK147" i="26" s="1"/>
  <c r="AF148" i="26"/>
  <c r="AE148" i="26" s="1"/>
  <c r="AH148" i="26"/>
  <c r="AG148" i="26" s="1"/>
  <c r="AJ148" i="26"/>
  <c r="AI148" i="26" s="1"/>
  <c r="AL148" i="26"/>
  <c r="AK148" i="26" s="1"/>
  <c r="AF149" i="26"/>
  <c r="AE149" i="26" s="1"/>
  <c r="AH149" i="26"/>
  <c r="AG149" i="26" s="1"/>
  <c r="AJ149" i="26"/>
  <c r="AI149" i="26" s="1"/>
  <c r="AL149" i="26"/>
  <c r="AK149" i="26" s="1"/>
  <c r="AF150" i="26"/>
  <c r="AE150" i="26" s="1"/>
  <c r="AH150" i="26"/>
  <c r="AG150" i="26" s="1"/>
  <c r="AJ150" i="26"/>
  <c r="AI150" i="26" s="1"/>
  <c r="AL150" i="26"/>
  <c r="AK150" i="26" s="1"/>
  <c r="AF151" i="26"/>
  <c r="AE151" i="26" s="1"/>
  <c r="AH151" i="26"/>
  <c r="AG151" i="26" s="1"/>
  <c r="AJ151" i="26"/>
  <c r="AI151" i="26" s="1"/>
  <c r="AL151" i="26"/>
  <c r="AK151" i="26" s="1"/>
  <c r="AF152" i="26"/>
  <c r="AE152" i="26" s="1"/>
  <c r="AH152" i="26"/>
  <c r="AG152" i="26" s="1"/>
  <c r="AJ152" i="26"/>
  <c r="AI152" i="26" s="1"/>
  <c r="AL152" i="26"/>
  <c r="AK152" i="26" s="1"/>
  <c r="AF153" i="26"/>
  <c r="AE153" i="26" s="1"/>
  <c r="AH153" i="26"/>
  <c r="AG153" i="26" s="1"/>
  <c r="AJ153" i="26"/>
  <c r="AI153" i="26" s="1"/>
  <c r="AL153" i="26"/>
  <c r="AK153" i="26" s="1"/>
  <c r="AF154" i="26"/>
  <c r="AE154" i="26" s="1"/>
  <c r="AH154" i="26"/>
  <c r="AG154" i="26" s="1"/>
  <c r="AJ154" i="26"/>
  <c r="AI154" i="26" s="1"/>
  <c r="AL154" i="26"/>
  <c r="AK154" i="26" s="1"/>
  <c r="AF155" i="26"/>
  <c r="AE155" i="26" s="1"/>
  <c r="AH155" i="26"/>
  <c r="AG155" i="26" s="1"/>
  <c r="AJ155" i="26"/>
  <c r="AI155" i="26" s="1"/>
  <c r="AL155" i="26"/>
  <c r="AK155" i="26" s="1"/>
  <c r="AF156" i="26"/>
  <c r="AE156" i="26" s="1"/>
  <c r="AH156" i="26"/>
  <c r="AG156" i="26" s="1"/>
  <c r="AJ156" i="26"/>
  <c r="AI156" i="26" s="1"/>
  <c r="AL156" i="26"/>
  <c r="AK156" i="26" s="1"/>
  <c r="AF157" i="26"/>
  <c r="AE157" i="26" s="1"/>
  <c r="AH157" i="26"/>
  <c r="AG157" i="26" s="1"/>
  <c r="AJ157" i="26"/>
  <c r="AI157" i="26" s="1"/>
  <c r="AL157" i="26"/>
  <c r="AK157" i="26" s="1"/>
  <c r="AF158" i="26"/>
  <c r="AE158" i="26" s="1"/>
  <c r="AH158" i="26"/>
  <c r="AG158" i="26" s="1"/>
  <c r="AJ158" i="26"/>
  <c r="AI158" i="26" s="1"/>
  <c r="AL158" i="26"/>
  <c r="AK158" i="26" s="1"/>
  <c r="AF159" i="26"/>
  <c r="AE159" i="26" s="1"/>
  <c r="AH159" i="26"/>
  <c r="AG159" i="26" s="1"/>
  <c r="AJ159" i="26"/>
  <c r="AI159" i="26" s="1"/>
  <c r="AL159" i="26"/>
  <c r="AK159" i="26" s="1"/>
  <c r="AF160" i="26"/>
  <c r="AE160" i="26" s="1"/>
  <c r="AH160" i="26"/>
  <c r="AG160" i="26" s="1"/>
  <c r="AJ160" i="26"/>
  <c r="AI160" i="26" s="1"/>
  <c r="AL160" i="26"/>
  <c r="AK160" i="26" s="1"/>
  <c r="AF161" i="26"/>
  <c r="AE161" i="26" s="1"/>
  <c r="AH161" i="26"/>
  <c r="AG161" i="26" s="1"/>
  <c r="AJ161" i="26"/>
  <c r="AI161" i="26" s="1"/>
  <c r="AL161" i="26"/>
  <c r="AK161" i="26" s="1"/>
  <c r="AF162" i="26"/>
  <c r="AE162" i="26" s="1"/>
  <c r="AH162" i="26"/>
  <c r="AG162" i="26" s="1"/>
  <c r="AJ162" i="26"/>
  <c r="AI162" i="26" s="1"/>
  <c r="AL162" i="26"/>
  <c r="AK162" i="26" s="1"/>
  <c r="AF163" i="26"/>
  <c r="AE163" i="26" s="1"/>
  <c r="AH163" i="26"/>
  <c r="AG163" i="26" s="1"/>
  <c r="AJ163" i="26"/>
  <c r="AI163" i="26" s="1"/>
  <c r="AL163" i="26"/>
  <c r="AK163" i="26" s="1"/>
  <c r="AF164" i="26"/>
  <c r="AE164" i="26" s="1"/>
  <c r="AH164" i="26"/>
  <c r="AG164" i="26" s="1"/>
  <c r="AJ164" i="26"/>
  <c r="AI164" i="26" s="1"/>
  <c r="AL164" i="26"/>
  <c r="AK164" i="26" s="1"/>
  <c r="AF165" i="26"/>
  <c r="AE165" i="26" s="1"/>
  <c r="AH165" i="26"/>
  <c r="AG165" i="26" s="1"/>
  <c r="AJ165" i="26"/>
  <c r="AI165" i="26" s="1"/>
  <c r="AL165" i="26"/>
  <c r="AK165" i="26" s="1"/>
  <c r="AF166" i="26"/>
  <c r="AE166" i="26" s="1"/>
  <c r="AH166" i="26"/>
  <c r="AG166" i="26" s="1"/>
  <c r="AJ166" i="26"/>
  <c r="AI166" i="26" s="1"/>
  <c r="AL166" i="26"/>
  <c r="AK166" i="26" s="1"/>
  <c r="AF167" i="26"/>
  <c r="AE167" i="26" s="1"/>
  <c r="AH167" i="26"/>
  <c r="AG167" i="26" s="1"/>
  <c r="AJ167" i="26"/>
  <c r="AI167" i="26" s="1"/>
  <c r="AL167" i="26"/>
  <c r="AK167" i="26" s="1"/>
  <c r="AF168" i="26"/>
  <c r="AE168" i="26" s="1"/>
  <c r="AH168" i="26"/>
  <c r="AG168" i="26" s="1"/>
  <c r="AJ168" i="26"/>
  <c r="AI168" i="26" s="1"/>
  <c r="AL168" i="26"/>
  <c r="AK168" i="26" s="1"/>
  <c r="AF169" i="26"/>
  <c r="AE169" i="26" s="1"/>
  <c r="AH169" i="26"/>
  <c r="AG169" i="26" s="1"/>
  <c r="AJ169" i="26"/>
  <c r="AI169" i="26" s="1"/>
  <c r="AL169" i="26"/>
  <c r="AK169" i="26" s="1"/>
  <c r="AF170" i="26"/>
  <c r="AE170" i="26" s="1"/>
  <c r="AH170" i="26"/>
  <c r="AG170" i="26" s="1"/>
  <c r="AJ170" i="26"/>
  <c r="AI170" i="26" s="1"/>
  <c r="AL170" i="26"/>
  <c r="AK170" i="26" s="1"/>
  <c r="AF171" i="26"/>
  <c r="AE171" i="26" s="1"/>
  <c r="AH171" i="26"/>
  <c r="AG171" i="26" s="1"/>
  <c r="AJ171" i="26"/>
  <c r="AI171" i="26" s="1"/>
  <c r="AL171" i="26"/>
  <c r="AK171" i="26" s="1"/>
  <c r="AF172" i="26"/>
  <c r="AE172" i="26" s="1"/>
  <c r="AH172" i="26"/>
  <c r="AG172" i="26" s="1"/>
  <c r="AJ172" i="26"/>
  <c r="AI172" i="26" s="1"/>
  <c r="AL172" i="26"/>
  <c r="AK172" i="26" s="1"/>
  <c r="AF173" i="26"/>
  <c r="AE173" i="26" s="1"/>
  <c r="AH173" i="26"/>
  <c r="AG173" i="26" s="1"/>
  <c r="AJ173" i="26"/>
  <c r="AI173" i="26" s="1"/>
  <c r="AL173" i="26"/>
  <c r="AK173" i="26" s="1"/>
  <c r="AF174" i="26"/>
  <c r="AE174" i="26" s="1"/>
  <c r="AH174" i="26"/>
  <c r="AG174" i="26" s="1"/>
  <c r="AJ174" i="26"/>
  <c r="AI174" i="26" s="1"/>
  <c r="AL174" i="26"/>
  <c r="AK174" i="26" s="1"/>
  <c r="AF175" i="26"/>
  <c r="AE175" i="26" s="1"/>
  <c r="AH175" i="26"/>
  <c r="AG175" i="26" s="1"/>
  <c r="AJ175" i="26"/>
  <c r="AI175" i="26" s="1"/>
  <c r="AL175" i="26"/>
  <c r="AK175" i="26" s="1"/>
  <c r="AF176" i="26"/>
  <c r="AE176" i="26" s="1"/>
  <c r="AH176" i="26"/>
  <c r="AG176" i="26" s="1"/>
  <c r="AI176" i="26"/>
  <c r="AJ176" i="26"/>
  <c r="AK176" i="26"/>
  <c r="AL176" i="26"/>
  <c r="AE177" i="26"/>
  <c r="AF177" i="26"/>
  <c r="AG177" i="26"/>
  <c r="AH177" i="26"/>
  <c r="AI177" i="26"/>
  <c r="AJ177" i="26"/>
  <c r="AK177" i="26"/>
  <c r="AL177" i="26"/>
  <c r="AE178" i="26"/>
  <c r="AF178" i="26"/>
  <c r="AG178" i="26"/>
  <c r="AH178" i="26"/>
  <c r="AI178" i="26"/>
  <c r="AJ178" i="26"/>
  <c r="AK178" i="26"/>
  <c r="AL178" i="26"/>
  <c r="AE179" i="26"/>
  <c r="AF179" i="26"/>
  <c r="AG179" i="26"/>
  <c r="AH179" i="26"/>
  <c r="AI179" i="26"/>
  <c r="AJ179" i="26"/>
  <c r="AK179" i="26"/>
  <c r="AL179" i="26"/>
  <c r="AE180" i="26"/>
  <c r="AF180" i="26"/>
  <c r="AG180" i="26"/>
  <c r="AH180" i="26"/>
  <c r="AI180" i="26"/>
  <c r="AJ180" i="26"/>
  <c r="AK180" i="26"/>
  <c r="AL180" i="26"/>
  <c r="AE181" i="26"/>
  <c r="AF181" i="26"/>
  <c r="AG181" i="26"/>
  <c r="AH181" i="26"/>
  <c r="AI181" i="26"/>
  <c r="AJ181" i="26"/>
  <c r="AK181" i="26"/>
  <c r="AL181" i="26"/>
  <c r="AE182" i="26"/>
  <c r="AF182" i="26"/>
  <c r="AG182" i="26"/>
  <c r="AH182" i="26"/>
  <c r="AI182" i="26"/>
  <c r="AJ182" i="26"/>
  <c r="AK182" i="26"/>
  <c r="AL182" i="26"/>
  <c r="AE183" i="26"/>
  <c r="AF183" i="26"/>
  <c r="AG183" i="26"/>
  <c r="AH183" i="26"/>
  <c r="AI183" i="26"/>
  <c r="AJ183" i="26"/>
  <c r="AK183" i="26"/>
  <c r="AL183" i="26"/>
  <c r="AE184" i="26"/>
  <c r="AF184" i="26"/>
  <c r="AG184" i="26"/>
  <c r="AH184" i="26"/>
  <c r="AI184" i="26"/>
  <c r="AJ184" i="26"/>
  <c r="AK184" i="26"/>
  <c r="AL184" i="26"/>
  <c r="AE185" i="26"/>
  <c r="AF185" i="26"/>
  <c r="AG185" i="26"/>
  <c r="AH185" i="26"/>
  <c r="AI185" i="26"/>
  <c r="AJ185" i="26"/>
  <c r="AK185" i="26"/>
  <c r="AL185" i="26"/>
  <c r="AE186" i="26"/>
  <c r="AF186" i="26"/>
  <c r="AG186" i="26"/>
  <c r="AH186" i="26"/>
  <c r="AI186" i="26"/>
  <c r="AJ186" i="26"/>
  <c r="AK186" i="26"/>
  <c r="AL186" i="26"/>
  <c r="AE187" i="26"/>
  <c r="AF187" i="26"/>
  <c r="AG187" i="26"/>
  <c r="AH187" i="26"/>
  <c r="AI187" i="26"/>
  <c r="AJ187" i="26"/>
  <c r="AK187" i="26"/>
  <c r="AL187" i="26"/>
  <c r="AE188" i="26"/>
  <c r="AF188" i="26"/>
  <c r="AG188" i="26"/>
  <c r="AH188" i="26"/>
  <c r="AI188" i="26"/>
  <c r="AJ188" i="26"/>
  <c r="AK188" i="26"/>
  <c r="AL188" i="26"/>
  <c r="AE189" i="26"/>
  <c r="AF189" i="26"/>
  <c r="AG189" i="26"/>
  <c r="AH189" i="26"/>
  <c r="AI189" i="26"/>
  <c r="AJ189" i="26"/>
  <c r="AK189" i="26"/>
  <c r="AL189" i="26"/>
  <c r="AE190" i="26"/>
  <c r="AF190" i="26"/>
  <c r="AG190" i="26"/>
  <c r="AH190" i="26"/>
  <c r="AI190" i="26"/>
  <c r="AJ190" i="26"/>
  <c r="AK190" i="26"/>
  <c r="AL190" i="26"/>
  <c r="AE191" i="26"/>
  <c r="AF191" i="26"/>
  <c r="AG191" i="26"/>
  <c r="AH191" i="26"/>
  <c r="AI191" i="26"/>
  <c r="AJ191" i="26"/>
  <c r="AK191" i="26"/>
  <c r="AL191" i="26"/>
  <c r="AE192" i="26"/>
  <c r="AF192" i="26"/>
  <c r="AG192" i="26"/>
  <c r="AH192" i="26"/>
  <c r="AI192" i="26"/>
  <c r="AJ192" i="26"/>
  <c r="AK192" i="26"/>
  <c r="AL192" i="26"/>
  <c r="AE193" i="26"/>
  <c r="AF193" i="26"/>
  <c r="AG193" i="26"/>
  <c r="AH193" i="26"/>
  <c r="AI193" i="26"/>
  <c r="AJ193" i="26"/>
  <c r="AK193" i="26"/>
  <c r="AL193" i="26"/>
  <c r="AE194" i="26"/>
  <c r="AF194" i="26"/>
  <c r="AG194" i="26"/>
  <c r="AH194" i="26"/>
  <c r="AI194" i="26"/>
  <c r="AJ194" i="26"/>
  <c r="AK194" i="26"/>
  <c r="AL194" i="26"/>
  <c r="AE195" i="26"/>
  <c r="AF195" i="26"/>
  <c r="AG195" i="26"/>
  <c r="AH195" i="26"/>
  <c r="AI195" i="26"/>
  <c r="AJ195" i="26"/>
  <c r="AK195" i="26"/>
  <c r="AL195" i="26"/>
  <c r="AE196" i="26"/>
  <c r="AF196" i="26"/>
  <c r="AG196" i="26"/>
  <c r="AH196" i="26"/>
  <c r="AI196" i="26"/>
  <c r="AJ196" i="26"/>
  <c r="AK196" i="26"/>
  <c r="AL196" i="26"/>
  <c r="AE197" i="26"/>
  <c r="AF197" i="26"/>
  <c r="AG197" i="26"/>
  <c r="AH197" i="26"/>
  <c r="AI197" i="26"/>
  <c r="AJ197" i="26"/>
  <c r="AK197" i="26"/>
  <c r="AL197" i="26"/>
  <c r="AE198" i="26"/>
  <c r="AF198" i="26"/>
  <c r="AG198" i="26"/>
  <c r="AH198" i="26"/>
  <c r="AI198" i="26"/>
  <c r="AJ198" i="26"/>
  <c r="AK198" i="26"/>
  <c r="AL198" i="26"/>
  <c r="AE199" i="26"/>
  <c r="AF199" i="26"/>
  <c r="AG199" i="26"/>
  <c r="AH199" i="26"/>
  <c r="AI199" i="26"/>
  <c r="AJ199" i="26"/>
  <c r="AK199" i="26"/>
  <c r="AL199" i="26"/>
  <c r="AE200" i="26"/>
  <c r="AF200" i="26"/>
  <c r="AG200" i="26"/>
  <c r="AH200" i="26"/>
  <c r="AI200" i="26"/>
  <c r="AJ200" i="26"/>
  <c r="AK200" i="26"/>
  <c r="AL200" i="26"/>
  <c r="AE201" i="26"/>
  <c r="AF201" i="26"/>
  <c r="AG201" i="26"/>
  <c r="AH201" i="26"/>
  <c r="AI201" i="26"/>
  <c r="AJ201" i="26"/>
  <c r="AK201" i="26"/>
  <c r="AL201" i="26"/>
  <c r="AE202" i="26"/>
  <c r="AF202" i="26"/>
  <c r="AG202" i="26"/>
  <c r="AH202" i="26"/>
  <c r="AI202" i="26"/>
  <c r="AJ202" i="26"/>
  <c r="AK202" i="26"/>
  <c r="AL202" i="26"/>
  <c r="AE203" i="26"/>
  <c r="AF203" i="26"/>
  <c r="AG203" i="26"/>
  <c r="AH203" i="26"/>
  <c r="AI203" i="26"/>
  <c r="AJ203" i="26"/>
  <c r="AK203" i="26"/>
  <c r="AL203" i="26"/>
  <c r="AE204" i="26"/>
  <c r="AF204" i="26"/>
  <c r="AG204" i="26"/>
  <c r="AH204" i="26"/>
  <c r="AI204" i="26"/>
  <c r="AJ204" i="26"/>
  <c r="AK204" i="26"/>
  <c r="AL204" i="26"/>
  <c r="AE205" i="26"/>
  <c r="AF205" i="26"/>
  <c r="AG205" i="26"/>
  <c r="AH205" i="26"/>
  <c r="AI205" i="26"/>
  <c r="AJ205" i="26"/>
  <c r="AK205" i="26"/>
  <c r="AL205" i="26"/>
  <c r="AE206" i="26"/>
  <c r="AF206" i="26"/>
  <c r="AG206" i="26"/>
  <c r="AH206" i="26"/>
  <c r="AI206" i="26"/>
  <c r="AJ206" i="26"/>
  <c r="AK206" i="26"/>
  <c r="AL206" i="26"/>
  <c r="AE207" i="26"/>
  <c r="AF207" i="26"/>
  <c r="AG207" i="26"/>
  <c r="AH207" i="26"/>
  <c r="AI207" i="26"/>
  <c r="AJ207" i="26"/>
  <c r="AK207" i="26"/>
  <c r="AL207" i="26"/>
  <c r="AE208" i="26"/>
  <c r="AF208" i="26"/>
  <c r="AG208" i="26"/>
  <c r="AH208" i="26"/>
  <c r="AI208" i="26"/>
  <c r="AJ208" i="26"/>
  <c r="AK208" i="26"/>
  <c r="AL208" i="26"/>
  <c r="AE209" i="26"/>
  <c r="AF209" i="26"/>
  <c r="AG209" i="26"/>
  <c r="AH209" i="26"/>
  <c r="AI209" i="26"/>
  <c r="AJ209" i="26"/>
  <c r="AK209" i="26"/>
  <c r="AL209" i="26"/>
  <c r="AE210" i="26"/>
  <c r="AF210" i="26"/>
  <c r="AG210" i="26"/>
  <c r="AH210" i="26"/>
  <c r="AI210" i="26"/>
  <c r="AJ210" i="26"/>
  <c r="AK210" i="26"/>
  <c r="AL210" i="26"/>
  <c r="AE211" i="26"/>
  <c r="AF211" i="26"/>
  <c r="AG211" i="26"/>
  <c r="AH211" i="26"/>
  <c r="AI211" i="26"/>
  <c r="AJ211" i="26"/>
  <c r="AK211" i="26"/>
  <c r="AL211" i="26"/>
  <c r="AE212" i="26"/>
  <c r="AF212" i="26"/>
  <c r="AG212" i="26"/>
  <c r="AH212" i="26"/>
  <c r="AI212" i="26"/>
  <c r="AJ212" i="26"/>
  <c r="AK212" i="26"/>
  <c r="AL212" i="26"/>
  <c r="AE213" i="26"/>
  <c r="AF213" i="26"/>
  <c r="AG213" i="26"/>
  <c r="AH213" i="26"/>
  <c r="AI213" i="26"/>
  <c r="AJ213" i="26"/>
  <c r="AK213" i="26"/>
  <c r="AL213" i="26"/>
  <c r="AE214" i="26"/>
  <c r="AF214" i="26"/>
  <c r="AG214" i="26"/>
  <c r="AH214" i="26"/>
  <c r="AI214" i="26"/>
  <c r="AJ214" i="26"/>
  <c r="AK214" i="26"/>
  <c r="AL214" i="26"/>
  <c r="AE215" i="26"/>
  <c r="AF215" i="26"/>
  <c r="AG215" i="26"/>
  <c r="AH215" i="26"/>
  <c r="AI215" i="26"/>
  <c r="AJ215" i="26"/>
  <c r="AK215" i="26"/>
  <c r="AL215" i="26"/>
  <c r="AE216" i="26"/>
  <c r="AF216" i="26"/>
  <c r="AG216" i="26"/>
  <c r="AH216" i="26"/>
  <c r="AI216" i="26"/>
  <c r="AJ216" i="26"/>
  <c r="AK216" i="26"/>
  <c r="AL216" i="26"/>
  <c r="AE217" i="26"/>
  <c r="AF217" i="26"/>
  <c r="AG217" i="26"/>
  <c r="AH217" i="26"/>
  <c r="AI217" i="26"/>
  <c r="AJ217" i="26"/>
  <c r="AK217" i="26"/>
  <c r="AL217" i="26"/>
  <c r="AE218" i="26"/>
  <c r="AF218" i="26"/>
  <c r="AG218" i="26"/>
  <c r="AH218" i="26"/>
  <c r="AI218" i="26"/>
  <c r="AJ218" i="26"/>
  <c r="AK218" i="26"/>
  <c r="AL218" i="26"/>
  <c r="AE219" i="26"/>
  <c r="AF219" i="26"/>
  <c r="AG219" i="26"/>
  <c r="AH219" i="26"/>
  <c r="AI219" i="26"/>
  <c r="AJ219" i="26"/>
  <c r="AK219" i="26"/>
  <c r="AL219" i="26"/>
  <c r="AE220" i="26"/>
  <c r="AF220" i="26"/>
  <c r="AG220" i="26"/>
  <c r="AH220" i="26"/>
  <c r="AI220" i="26"/>
  <c r="AJ220" i="26"/>
  <c r="AK220" i="26"/>
  <c r="AL220" i="26"/>
  <c r="AE221" i="26"/>
  <c r="AF221" i="26"/>
  <c r="AG221" i="26"/>
  <c r="AH221" i="26"/>
  <c r="AI221" i="26"/>
  <c r="AJ221" i="26"/>
  <c r="AK221" i="26"/>
  <c r="AL221" i="26"/>
  <c r="AE222" i="26"/>
  <c r="AF222" i="26"/>
  <c r="AG222" i="26"/>
  <c r="AH222" i="26"/>
  <c r="AI222" i="26"/>
  <c r="AJ222" i="26"/>
  <c r="AK222" i="26"/>
  <c r="AL222" i="26"/>
  <c r="AE223" i="26"/>
  <c r="AF223" i="26"/>
  <c r="AG223" i="26"/>
  <c r="AH223" i="26"/>
  <c r="AI223" i="26"/>
  <c r="AJ223" i="26"/>
  <c r="AK223" i="26"/>
  <c r="AL223" i="26"/>
  <c r="AE224" i="26"/>
  <c r="AF224" i="26"/>
  <c r="AG224" i="26"/>
  <c r="AH224" i="26"/>
  <c r="AI224" i="26"/>
  <c r="AJ224" i="26"/>
  <c r="AK224" i="26"/>
  <c r="AL224" i="26"/>
  <c r="AE225" i="26"/>
  <c r="AF225" i="26"/>
  <c r="AG225" i="26"/>
  <c r="AH225" i="26"/>
  <c r="AI225" i="26"/>
  <c r="AJ225" i="26"/>
  <c r="AK225" i="26"/>
  <c r="AL225" i="26"/>
  <c r="AE226" i="26"/>
  <c r="AF226" i="26"/>
  <c r="AG226" i="26"/>
  <c r="AH226" i="26"/>
  <c r="AI226" i="26"/>
  <c r="AJ226" i="26"/>
  <c r="AK226" i="26"/>
  <c r="AL226" i="26"/>
  <c r="AE227" i="26"/>
  <c r="AF227" i="26"/>
  <c r="AG227" i="26"/>
  <c r="AH227" i="26"/>
  <c r="AI227" i="26"/>
  <c r="AJ227" i="26"/>
  <c r="AK227" i="26"/>
  <c r="AL227" i="26"/>
  <c r="AE228" i="26"/>
  <c r="AF228" i="26"/>
  <c r="AG228" i="26"/>
  <c r="AH228" i="26"/>
  <c r="AI228" i="26"/>
  <c r="AJ228" i="26"/>
  <c r="AK228" i="26"/>
  <c r="AL228" i="26"/>
  <c r="AE229" i="26"/>
  <c r="AF229" i="26"/>
  <c r="AG229" i="26"/>
  <c r="AH229" i="26"/>
  <c r="AI229" i="26"/>
  <c r="AJ229" i="26"/>
  <c r="AK229" i="26"/>
  <c r="AL229" i="26"/>
  <c r="AE230" i="26"/>
  <c r="AF230" i="26"/>
  <c r="AG230" i="26"/>
  <c r="AH230" i="26"/>
  <c r="AI230" i="26"/>
  <c r="AJ230" i="26"/>
  <c r="AK230" i="26"/>
  <c r="AL230" i="26"/>
  <c r="AE231" i="26"/>
  <c r="AF231" i="26"/>
  <c r="AG231" i="26"/>
  <c r="AH231" i="26"/>
  <c r="AI231" i="26"/>
  <c r="AJ231" i="26"/>
  <c r="AK231" i="26"/>
  <c r="AL231" i="26"/>
  <c r="AE232" i="26"/>
  <c r="AF232" i="26"/>
  <c r="AG232" i="26"/>
  <c r="AH232" i="26"/>
  <c r="AI232" i="26"/>
  <c r="AJ232" i="26"/>
  <c r="AK232" i="26"/>
  <c r="AL232" i="26"/>
  <c r="AE233" i="26"/>
  <c r="AF233" i="26"/>
  <c r="AG233" i="26"/>
  <c r="AH233" i="26"/>
  <c r="AI233" i="26"/>
  <c r="AJ233" i="26"/>
  <c r="AK233" i="26"/>
  <c r="AL233" i="26"/>
  <c r="AE234" i="26"/>
  <c r="AF234" i="26"/>
  <c r="AG234" i="26"/>
  <c r="AH234" i="26"/>
  <c r="AI234" i="26"/>
  <c r="AJ234" i="26"/>
  <c r="AK234" i="26"/>
  <c r="AL234" i="26"/>
  <c r="AE235" i="26"/>
  <c r="AF235" i="26"/>
  <c r="AG235" i="26"/>
  <c r="AH235" i="26"/>
  <c r="AI235" i="26"/>
  <c r="AJ235" i="26"/>
  <c r="AK235" i="26"/>
  <c r="AL235" i="26"/>
  <c r="AE236" i="26"/>
  <c r="AF236" i="26"/>
  <c r="AG236" i="26"/>
  <c r="AH236" i="26"/>
  <c r="AI236" i="26"/>
  <c r="AJ236" i="26"/>
  <c r="AK236" i="26"/>
  <c r="AL236" i="26"/>
  <c r="AE237" i="26"/>
  <c r="AF237" i="26"/>
  <c r="AG237" i="26"/>
  <c r="AH237" i="26"/>
  <c r="AI237" i="26"/>
  <c r="AJ237" i="26"/>
  <c r="AK237" i="26"/>
  <c r="AL237" i="26"/>
  <c r="AE238" i="26"/>
  <c r="AF238" i="26"/>
  <c r="AG238" i="26"/>
  <c r="AH238" i="26"/>
  <c r="AI238" i="26"/>
  <c r="AJ238" i="26"/>
  <c r="AK238" i="26"/>
  <c r="AL238" i="26"/>
  <c r="AE239" i="26"/>
  <c r="AF239" i="26"/>
  <c r="AG239" i="26"/>
  <c r="AH239" i="26"/>
  <c r="AI239" i="26"/>
  <c r="AJ239" i="26"/>
  <c r="AK239" i="26"/>
  <c r="AL239" i="26"/>
  <c r="AE240" i="26"/>
  <c r="AF240" i="26"/>
  <c r="AG240" i="26"/>
  <c r="AH240" i="26"/>
  <c r="AI240" i="26"/>
  <c r="AJ240" i="26"/>
  <c r="AK240" i="26"/>
  <c r="AL240" i="26"/>
  <c r="AE241" i="26"/>
  <c r="AF241" i="26"/>
  <c r="AG241" i="26"/>
  <c r="AH241" i="26"/>
  <c r="AI241" i="26"/>
  <c r="AJ241" i="26"/>
  <c r="AK241" i="26"/>
  <c r="AL241" i="26"/>
  <c r="AE242" i="26"/>
  <c r="AF242" i="26"/>
  <c r="AG242" i="26"/>
  <c r="AH242" i="26"/>
  <c r="AI242" i="26"/>
  <c r="AJ242" i="26"/>
  <c r="AK242" i="26"/>
  <c r="AL242" i="26"/>
  <c r="AE243" i="26"/>
  <c r="AF243" i="26"/>
  <c r="AG243" i="26"/>
  <c r="AH243" i="26"/>
  <c r="AI243" i="26"/>
  <c r="AJ243" i="26"/>
  <c r="AK243" i="26"/>
  <c r="AL243" i="26"/>
  <c r="AE244" i="26"/>
  <c r="AF244" i="26"/>
  <c r="AG244" i="26"/>
  <c r="AH244" i="26"/>
  <c r="AI244" i="26"/>
  <c r="AJ244" i="26"/>
  <c r="AK244" i="26"/>
  <c r="AL244" i="26"/>
  <c r="AE245" i="26"/>
  <c r="AF245" i="26"/>
  <c r="AG245" i="26"/>
  <c r="AH245" i="26"/>
  <c r="AI245" i="26"/>
  <c r="AJ245" i="26"/>
  <c r="AK245" i="26"/>
  <c r="AL245" i="26"/>
  <c r="AE246" i="26"/>
  <c r="AF246" i="26"/>
  <c r="AG246" i="26"/>
  <c r="AH246" i="26"/>
  <c r="AI246" i="26"/>
  <c r="AJ246" i="26"/>
  <c r="AK246" i="26"/>
  <c r="AL246" i="26"/>
  <c r="AE247" i="26"/>
  <c r="AF247" i="26"/>
  <c r="AG247" i="26"/>
  <c r="AH247" i="26"/>
  <c r="AI247" i="26"/>
  <c r="AJ247" i="26"/>
  <c r="AK247" i="26"/>
  <c r="AL247" i="26"/>
  <c r="AE248" i="26"/>
  <c r="AF248" i="26"/>
  <c r="AG248" i="26"/>
  <c r="AH248" i="26"/>
  <c r="AI248" i="26"/>
  <c r="AJ248" i="26"/>
  <c r="AK248" i="26"/>
  <c r="AL248" i="26"/>
  <c r="AE249" i="26"/>
  <c r="AF249" i="26"/>
  <c r="AG249" i="26"/>
  <c r="AH249" i="26"/>
  <c r="AI249" i="26"/>
  <c r="AJ249" i="26"/>
  <c r="AK249" i="26"/>
  <c r="AL249" i="26"/>
  <c r="AE250" i="26"/>
  <c r="AF250" i="26"/>
  <c r="AG250" i="26"/>
  <c r="AH250" i="26"/>
  <c r="AI250" i="26"/>
  <c r="AJ250" i="26"/>
  <c r="AK250" i="26"/>
  <c r="AL250" i="26"/>
  <c r="AE251" i="26"/>
  <c r="AF251" i="26"/>
  <c r="AG251" i="26"/>
  <c r="AH251" i="26"/>
  <c r="AI251" i="26"/>
  <c r="AJ251" i="26"/>
  <c r="AK251" i="26"/>
  <c r="AL251" i="26"/>
  <c r="AE252" i="26"/>
  <c r="AF252" i="26"/>
  <c r="AG252" i="26"/>
  <c r="AH252" i="26"/>
  <c r="AI252" i="26"/>
  <c r="AJ252" i="26"/>
  <c r="AK252" i="26"/>
  <c r="AL252" i="26"/>
  <c r="AE253" i="26"/>
  <c r="AF253" i="26"/>
  <c r="AG253" i="26"/>
  <c r="AH253" i="26"/>
  <c r="AI253" i="26"/>
  <c r="AJ253" i="26"/>
  <c r="AK253" i="26"/>
  <c r="AL253" i="26"/>
  <c r="AE254" i="26"/>
  <c r="AF254" i="26"/>
  <c r="AG254" i="26"/>
  <c r="AH254" i="26"/>
  <c r="AI254" i="26"/>
  <c r="AJ254" i="26"/>
  <c r="AK254" i="26"/>
  <c r="AL254" i="26"/>
  <c r="AE255" i="26"/>
  <c r="AF255" i="26"/>
  <c r="AG255" i="26"/>
  <c r="AH255" i="26"/>
  <c r="AI255" i="26"/>
  <c r="AJ255" i="26"/>
  <c r="AK255" i="26"/>
  <c r="AL255" i="26"/>
  <c r="AE256" i="26"/>
  <c r="AF256" i="26"/>
  <c r="AG256" i="26"/>
  <c r="AH256" i="26"/>
  <c r="AI256" i="26"/>
  <c r="AJ256" i="26"/>
  <c r="AK256" i="26"/>
  <c r="AL256" i="26"/>
  <c r="AE257" i="26"/>
  <c r="AF257" i="26"/>
  <c r="AG257" i="26"/>
  <c r="AH257" i="26"/>
  <c r="AI257" i="26"/>
  <c r="AJ257" i="26"/>
  <c r="AK257" i="26"/>
  <c r="AL257" i="26"/>
  <c r="AE258" i="26"/>
  <c r="AF258" i="26"/>
  <c r="AG258" i="26"/>
  <c r="AH258" i="26"/>
  <c r="AI258" i="26"/>
  <c r="AJ258" i="26"/>
  <c r="AK258" i="26"/>
  <c r="AL258" i="26"/>
  <c r="AE259" i="26"/>
  <c r="AF259" i="26"/>
  <c r="AG259" i="26"/>
  <c r="AH259" i="26"/>
  <c r="AI259" i="26"/>
  <c r="AJ259" i="26"/>
  <c r="AK259" i="26"/>
  <c r="AL259" i="26"/>
  <c r="AE260" i="26"/>
  <c r="AF260" i="26"/>
  <c r="AG260" i="26"/>
  <c r="AH260" i="26"/>
  <c r="AI260" i="26"/>
  <c r="AJ260" i="26"/>
  <c r="AK260" i="26"/>
  <c r="AL260" i="26"/>
  <c r="AE261" i="26"/>
  <c r="AF261" i="26"/>
  <c r="AG261" i="26"/>
  <c r="AH261" i="26"/>
  <c r="AI261" i="26"/>
  <c r="AJ261" i="26"/>
  <c r="AK261" i="26"/>
  <c r="AL261" i="26"/>
  <c r="AE262" i="26"/>
  <c r="AF262" i="26"/>
  <c r="AG262" i="26"/>
  <c r="AH262" i="26"/>
  <c r="AI262" i="26"/>
  <c r="AJ262" i="26"/>
  <c r="AK262" i="26"/>
  <c r="AL262" i="26"/>
  <c r="AE263" i="26"/>
  <c r="AF263" i="26"/>
  <c r="AG263" i="26"/>
  <c r="AH263" i="26"/>
  <c r="AI263" i="26"/>
  <c r="AJ263" i="26"/>
  <c r="AK263" i="26"/>
  <c r="AL263" i="26"/>
  <c r="AE264" i="26"/>
  <c r="AF264" i="26"/>
  <c r="AG264" i="26"/>
  <c r="AH264" i="26"/>
  <c r="AI264" i="26"/>
  <c r="AJ264" i="26"/>
  <c r="AK264" i="26"/>
  <c r="AL264" i="26"/>
  <c r="AE265" i="26"/>
  <c r="AF265" i="26"/>
  <c r="AG265" i="26"/>
  <c r="AH265" i="26"/>
  <c r="AI265" i="26"/>
  <c r="AJ265" i="26"/>
  <c r="AK265" i="26"/>
  <c r="AL265" i="26"/>
  <c r="AE266" i="26"/>
  <c r="AF266" i="26"/>
  <c r="AG266" i="26"/>
  <c r="AH266" i="26"/>
  <c r="AI266" i="26"/>
  <c r="AJ266" i="26"/>
  <c r="AK266" i="26"/>
  <c r="AL266" i="26"/>
  <c r="AE267" i="26"/>
  <c r="AF267" i="26"/>
  <c r="AG267" i="26"/>
  <c r="AH267" i="26"/>
  <c r="AI267" i="26"/>
  <c r="AJ267" i="26"/>
  <c r="AK267" i="26"/>
  <c r="AL267" i="26"/>
  <c r="AE268" i="26"/>
  <c r="AF268" i="26"/>
  <c r="AG268" i="26"/>
  <c r="AH268" i="26"/>
  <c r="AI268" i="26"/>
  <c r="AJ268" i="26"/>
  <c r="AK268" i="26"/>
  <c r="AL268" i="26"/>
  <c r="AE269" i="26"/>
  <c r="AF269" i="26"/>
  <c r="AG269" i="26"/>
  <c r="AH269" i="26"/>
  <c r="AI269" i="26"/>
  <c r="AJ269" i="26"/>
  <c r="AK269" i="26"/>
  <c r="AL269" i="26"/>
  <c r="AE270" i="26"/>
  <c r="AF270" i="26"/>
  <c r="AG270" i="26"/>
  <c r="AH270" i="26"/>
  <c r="AI270" i="26"/>
  <c r="AJ270" i="26"/>
  <c r="AK270" i="26"/>
  <c r="AL270" i="26"/>
  <c r="AE271" i="26"/>
  <c r="AF271" i="26"/>
  <c r="AG271" i="26"/>
  <c r="AH271" i="26"/>
  <c r="AI271" i="26"/>
  <c r="AJ271" i="26"/>
  <c r="AK271" i="26"/>
  <c r="AL271" i="26"/>
  <c r="AE272" i="26"/>
  <c r="AF272" i="26"/>
  <c r="AG272" i="26"/>
  <c r="AH272" i="26"/>
  <c r="AI272" i="26"/>
  <c r="AJ272" i="26"/>
  <c r="AK272" i="26"/>
  <c r="AL272" i="26"/>
  <c r="AE273" i="26"/>
  <c r="AF273" i="26"/>
  <c r="AG273" i="26"/>
  <c r="AH273" i="26"/>
  <c r="AI273" i="26"/>
  <c r="AJ273" i="26"/>
  <c r="AK273" i="26"/>
  <c r="AL273" i="26"/>
  <c r="AE274" i="26"/>
  <c r="AF274" i="26"/>
  <c r="AG274" i="26"/>
  <c r="AH274" i="26"/>
  <c r="AI274" i="26"/>
  <c r="AJ274" i="26"/>
  <c r="AK274" i="26"/>
  <c r="AL274" i="26"/>
  <c r="AE275" i="26"/>
  <c r="AF275" i="26"/>
  <c r="AG275" i="26"/>
  <c r="AH275" i="26"/>
  <c r="AI275" i="26"/>
  <c r="AJ275" i="26"/>
  <c r="AK275" i="26"/>
  <c r="AL275" i="26"/>
  <c r="AE276" i="26"/>
  <c r="AF276" i="26"/>
  <c r="AG276" i="26"/>
  <c r="AH276" i="26"/>
  <c r="AI276" i="26"/>
  <c r="AJ276" i="26"/>
  <c r="AK276" i="26"/>
  <c r="AL276" i="26"/>
  <c r="AE277" i="26"/>
  <c r="AF277" i="26"/>
  <c r="AG277" i="26"/>
  <c r="AH277" i="26"/>
  <c r="AI277" i="26"/>
  <c r="AJ277" i="26"/>
  <c r="AK277" i="26"/>
  <c r="AL277" i="26"/>
  <c r="AE278" i="26"/>
  <c r="AF278" i="26"/>
  <c r="AG278" i="26"/>
  <c r="AH278" i="26"/>
  <c r="AI278" i="26"/>
  <c r="AJ278" i="26"/>
  <c r="AK278" i="26"/>
  <c r="AL278" i="26"/>
  <c r="AE279" i="26"/>
  <c r="AF279" i="26"/>
  <c r="AG279" i="26"/>
  <c r="AH279" i="26"/>
  <c r="AI279" i="26"/>
  <c r="AJ279" i="26"/>
  <c r="AK279" i="26"/>
  <c r="AL279" i="26"/>
  <c r="AE280" i="26"/>
  <c r="AF280" i="26"/>
  <c r="AG280" i="26"/>
  <c r="AH280" i="26"/>
  <c r="AI280" i="26"/>
  <c r="AJ280" i="26"/>
  <c r="AK280" i="26"/>
  <c r="AL280" i="26"/>
  <c r="AE281" i="26"/>
  <c r="AF281" i="26"/>
  <c r="AG281" i="26"/>
  <c r="AH281" i="26"/>
  <c r="AI281" i="26"/>
  <c r="AJ281" i="26"/>
  <c r="AK281" i="26"/>
  <c r="AL281" i="26"/>
  <c r="AE282" i="26"/>
  <c r="AF282" i="26"/>
  <c r="AG282" i="26"/>
  <c r="AH282" i="26"/>
  <c r="AI282" i="26"/>
  <c r="AJ282" i="26"/>
  <c r="AK282" i="26"/>
  <c r="AL282" i="26"/>
  <c r="AE283" i="26"/>
  <c r="AF283" i="26"/>
  <c r="AG283" i="26"/>
  <c r="AH283" i="26"/>
  <c r="AI283" i="26"/>
  <c r="AJ283" i="26"/>
  <c r="AK283" i="26"/>
  <c r="AL283" i="26"/>
  <c r="AE284" i="26"/>
  <c r="AF284" i="26"/>
  <c r="AG284" i="26"/>
  <c r="AH284" i="26"/>
  <c r="AI284" i="26"/>
  <c r="AJ284" i="26"/>
  <c r="AK284" i="26"/>
  <c r="AL284" i="26"/>
  <c r="AE285" i="26"/>
  <c r="AF285" i="26"/>
  <c r="AG285" i="26"/>
  <c r="AH285" i="26"/>
  <c r="AI285" i="26"/>
  <c r="AJ285" i="26"/>
  <c r="AK285" i="26"/>
  <c r="AL285" i="26"/>
  <c r="AE286" i="26"/>
  <c r="AF286" i="26"/>
  <c r="AG286" i="26"/>
  <c r="AH286" i="26"/>
  <c r="AI286" i="26"/>
  <c r="AJ286" i="26"/>
  <c r="AK286" i="26"/>
  <c r="AL286" i="26"/>
  <c r="AE287" i="26"/>
  <c r="AF287" i="26"/>
  <c r="AG287" i="26"/>
  <c r="AH287" i="26"/>
  <c r="AI287" i="26"/>
  <c r="AJ287" i="26"/>
  <c r="AK287" i="26"/>
  <c r="AL287" i="26"/>
  <c r="AE288" i="26"/>
  <c r="AF288" i="26"/>
  <c r="AG288" i="26"/>
  <c r="AH288" i="26"/>
  <c r="AI288" i="26"/>
  <c r="AJ288" i="26"/>
  <c r="AK288" i="26"/>
  <c r="AL288" i="26"/>
  <c r="AE289" i="26"/>
  <c r="AF289" i="26"/>
  <c r="AG289" i="26"/>
  <c r="AH289" i="26"/>
  <c r="AI289" i="26"/>
  <c r="AJ289" i="26"/>
  <c r="AK289" i="26"/>
  <c r="AL289" i="26"/>
  <c r="AE290" i="26"/>
  <c r="AF290" i="26"/>
  <c r="AG290" i="26"/>
  <c r="AH290" i="26"/>
  <c r="AI290" i="26"/>
  <c r="AJ290" i="26"/>
  <c r="AK290" i="26"/>
  <c r="AL290" i="26"/>
  <c r="AE291" i="26"/>
  <c r="AF291" i="26"/>
  <c r="AG291" i="26"/>
  <c r="AH291" i="26"/>
  <c r="AI291" i="26"/>
  <c r="AJ291" i="26"/>
  <c r="AK291" i="26"/>
  <c r="AL291" i="26"/>
  <c r="AE292" i="26"/>
  <c r="AF292" i="26"/>
  <c r="AG292" i="26"/>
  <c r="AH292" i="26"/>
  <c r="AI292" i="26"/>
  <c r="AJ292" i="26"/>
  <c r="AK292" i="26"/>
  <c r="AL292" i="26"/>
  <c r="AE293" i="26"/>
  <c r="AF293" i="26"/>
  <c r="AG293" i="26"/>
  <c r="AH293" i="26"/>
  <c r="AI293" i="26"/>
  <c r="AJ293" i="26"/>
  <c r="AK293" i="26"/>
  <c r="AL293" i="26"/>
  <c r="AE294" i="26"/>
  <c r="AF294" i="26"/>
  <c r="AG294" i="26"/>
  <c r="AH294" i="26"/>
  <c r="AI294" i="26"/>
  <c r="AJ294" i="26"/>
  <c r="AK294" i="26"/>
  <c r="AL294" i="26"/>
  <c r="AE295" i="26"/>
  <c r="AF295" i="26"/>
  <c r="AG295" i="26"/>
  <c r="AH295" i="26"/>
  <c r="AI295" i="26"/>
  <c r="AJ295" i="26"/>
  <c r="AK295" i="26"/>
  <c r="AL295" i="26"/>
  <c r="AE296" i="26"/>
  <c r="AF296" i="26"/>
  <c r="AG296" i="26"/>
  <c r="AH296" i="26"/>
  <c r="AI296" i="26"/>
  <c r="AJ296" i="26"/>
  <c r="AK296" i="26"/>
  <c r="AL296" i="26"/>
  <c r="AE297" i="26"/>
  <c r="AF297" i="26"/>
  <c r="AG297" i="26"/>
  <c r="AH297" i="26"/>
  <c r="AI297" i="26"/>
  <c r="AJ297" i="26"/>
  <c r="AK297" i="26"/>
  <c r="AL297" i="26"/>
  <c r="AG9" i="31"/>
  <c r="AI9" i="31"/>
  <c r="AK9" i="31"/>
  <c r="AL9" i="31"/>
  <c r="AM9" i="31"/>
  <c r="AN9" i="31"/>
  <c r="AG10" i="31"/>
  <c r="AI10" i="31"/>
  <c r="AK10" i="31"/>
  <c r="AL10" i="31" s="1"/>
  <c r="AM10" i="31"/>
  <c r="AN10" i="31" s="1"/>
  <c r="AG11" i="31"/>
  <c r="AI11" i="31"/>
  <c r="AK11" i="31"/>
  <c r="AL11" i="31"/>
  <c r="AM11" i="31"/>
  <c r="AN11" i="31"/>
  <c r="AG12" i="31"/>
  <c r="AI12" i="31"/>
  <c r="AK12" i="31"/>
  <c r="AL12" i="31" s="1"/>
  <c r="AM12" i="31"/>
  <c r="AN12" i="31" s="1"/>
  <c r="AG13" i="31"/>
  <c r="AI13" i="31"/>
  <c r="AK13" i="31"/>
  <c r="AL13" i="31"/>
  <c r="AM13" i="31"/>
  <c r="AN13" i="31"/>
  <c r="AG14" i="31"/>
  <c r="AI14" i="31"/>
  <c r="AK14" i="31"/>
  <c r="AL14" i="31" s="1"/>
  <c r="AM14" i="31"/>
  <c r="AN14" i="31" s="1"/>
  <c r="AG15" i="31"/>
  <c r="AI15" i="31"/>
  <c r="AK15" i="31"/>
  <c r="AL15" i="31"/>
  <c r="AM15" i="31"/>
  <c r="AN15" i="31"/>
  <c r="AG16" i="31"/>
  <c r="AI16" i="31"/>
  <c r="AK16" i="31"/>
  <c r="AL16" i="31" s="1"/>
  <c r="AM16" i="31"/>
  <c r="AN16" i="31" s="1"/>
  <c r="AG17" i="31"/>
  <c r="AI17" i="31"/>
  <c r="AK17" i="31"/>
  <c r="AL17" i="31"/>
  <c r="AM17" i="31"/>
  <c r="AN17" i="31"/>
  <c r="AG18" i="31"/>
  <c r="AI18" i="31"/>
  <c r="AK18" i="31"/>
  <c r="AL18" i="31" s="1"/>
  <c r="AM18" i="31"/>
  <c r="AN18" i="31" s="1"/>
  <c r="AN8" i="31"/>
  <c r="AL8" i="31"/>
  <c r="AK9" i="32"/>
  <c r="AK10" i="32"/>
  <c r="AK11" i="32"/>
  <c r="AK12" i="32"/>
  <c r="AK13" i="32"/>
  <c r="AK14" i="32"/>
  <c r="AK16" i="32"/>
  <c r="AK17" i="32"/>
  <c r="AK18" i="32"/>
  <c r="AK19" i="32"/>
  <c r="AK20" i="32"/>
  <c r="AK21" i="32"/>
  <c r="AK22" i="32"/>
  <c r="AK23" i="32"/>
  <c r="AK24" i="32"/>
  <c r="AK25" i="32"/>
  <c r="AI9" i="32"/>
  <c r="AI10" i="32"/>
  <c r="AI11" i="32"/>
  <c r="AI12" i="32"/>
  <c r="AI13" i="32"/>
  <c r="AI14" i="32"/>
  <c r="AI16" i="32"/>
  <c r="AI17" i="32"/>
  <c r="AI18" i="32"/>
  <c r="AI19" i="32"/>
  <c r="AI20" i="32"/>
  <c r="AI21" i="32"/>
  <c r="AI22" i="32"/>
  <c r="AI23" i="32"/>
  <c r="AI24" i="32"/>
  <c r="AI25" i="32"/>
  <c r="AG15" i="32"/>
  <c r="AG25" i="32"/>
  <c r="AE25" i="32"/>
  <c r="AL25" i="32"/>
  <c r="AJ25" i="32"/>
  <c r="AH25" i="32"/>
  <c r="AF25" i="32"/>
  <c r="AA25" i="32"/>
  <c r="Y25" i="32"/>
  <c r="AB25" i="32" s="1"/>
  <c r="W25" i="32"/>
  <c r="AL24" i="32"/>
  <c r="AJ24" i="32"/>
  <c r="AH24" i="32"/>
  <c r="AF24" i="32"/>
  <c r="AA24" i="32"/>
  <c r="Y24" i="32"/>
  <c r="W24" i="32"/>
  <c r="AL23" i="32"/>
  <c r="AJ23" i="32"/>
  <c r="AH23" i="32"/>
  <c r="AF23" i="32"/>
  <c r="AA23" i="32"/>
  <c r="Y23" i="32"/>
  <c r="AB23" i="32" s="1"/>
  <c r="W23" i="32"/>
  <c r="AL22" i="32"/>
  <c r="AJ22" i="32"/>
  <c r="AH22" i="32"/>
  <c r="AF22" i="32"/>
  <c r="AA22" i="32"/>
  <c r="Y22" i="32"/>
  <c r="W22" i="32"/>
  <c r="AL21" i="32"/>
  <c r="AJ21" i="32"/>
  <c r="AH21" i="32"/>
  <c r="AF21" i="32"/>
  <c r="AA21" i="32"/>
  <c r="Y21" i="32"/>
  <c r="AB21" i="32" s="1"/>
  <c r="W21" i="32"/>
  <c r="AL20" i="32"/>
  <c r="AJ20" i="32"/>
  <c r="AH20" i="32"/>
  <c r="AF20" i="32"/>
  <c r="AA20" i="32"/>
  <c r="Y20" i="32"/>
  <c r="W20" i="32"/>
  <c r="AL19" i="32"/>
  <c r="AJ19" i="32"/>
  <c r="AH19" i="32"/>
  <c r="AF19" i="32"/>
  <c r="AA19" i="32"/>
  <c r="Y19" i="32"/>
  <c r="AB19" i="32" s="1"/>
  <c r="W19" i="32"/>
  <c r="AL18" i="32"/>
  <c r="AJ18" i="32"/>
  <c r="AH18" i="32"/>
  <c r="AF18" i="32"/>
  <c r="AA18" i="32"/>
  <c r="Y18" i="32"/>
  <c r="W18" i="32"/>
  <c r="AL17" i="32"/>
  <c r="AJ17" i="32"/>
  <c r="AH17" i="32"/>
  <c r="AF17" i="32"/>
  <c r="AA17" i="32"/>
  <c r="Y17" i="32"/>
  <c r="AB17" i="32" s="1"/>
  <c r="W17" i="32"/>
  <c r="AL16" i="32"/>
  <c r="AJ16" i="32"/>
  <c r="AH16" i="32"/>
  <c r="AF16" i="32"/>
  <c r="AA16" i="32"/>
  <c r="Y16" i="32"/>
  <c r="W16" i="32"/>
  <c r="AL15" i="32"/>
  <c r="AJ15" i="32"/>
  <c r="AH15" i="32"/>
  <c r="AF15" i="32"/>
  <c r="AA15" i="32"/>
  <c r="Y15" i="32"/>
  <c r="AB15" i="32" s="1"/>
  <c r="W15" i="32"/>
  <c r="AL14" i="32"/>
  <c r="AJ14" i="32"/>
  <c r="AH14" i="32"/>
  <c r="AF14" i="32"/>
  <c r="AA14" i="32"/>
  <c r="Y14" i="32"/>
  <c r="W14" i="32"/>
  <c r="AL13" i="32"/>
  <c r="AJ13" i="32"/>
  <c r="AH13" i="32"/>
  <c r="AF13" i="32"/>
  <c r="AA13" i="32"/>
  <c r="Y13" i="32"/>
  <c r="AB13" i="32" s="1"/>
  <c r="W13" i="32"/>
  <c r="AL12" i="32"/>
  <c r="AJ12" i="32"/>
  <c r="AH12" i="32"/>
  <c r="AF12" i="32"/>
  <c r="AA12" i="32"/>
  <c r="Y12" i="32"/>
  <c r="W12" i="32"/>
  <c r="AL11" i="32"/>
  <c r="AJ11" i="32"/>
  <c r="AH11" i="32"/>
  <c r="AF11" i="32"/>
  <c r="AA11" i="32"/>
  <c r="Y11" i="32"/>
  <c r="AB11" i="32" s="1"/>
  <c r="W11" i="32"/>
  <c r="AL10" i="32"/>
  <c r="AJ10" i="32"/>
  <c r="AH10" i="32"/>
  <c r="AF10" i="32"/>
  <c r="AA10" i="32"/>
  <c r="Y10" i="32"/>
  <c r="W10" i="32"/>
  <c r="AL9" i="32"/>
  <c r="AJ9" i="32"/>
  <c r="AH9" i="32"/>
  <c r="AF9" i="32"/>
  <c r="AA9" i="32"/>
  <c r="Y9" i="32"/>
  <c r="AB9" i="32" s="1"/>
  <c r="W9" i="32"/>
  <c r="AL8" i="32"/>
  <c r="AK8" i="32" s="1"/>
  <c r="AJ8" i="32"/>
  <c r="AI8" i="32" s="1"/>
  <c r="AH8" i="32"/>
  <c r="AF8" i="32"/>
  <c r="AA8" i="32"/>
  <c r="Y8" i="32"/>
  <c r="W8" i="32"/>
  <c r="J1" i="32"/>
  <c r="F1" i="32"/>
  <c r="AE18" i="31"/>
  <c r="AE17" i="31"/>
  <c r="AE16" i="31"/>
  <c r="AE15" i="31"/>
  <c r="AE14" i="31"/>
  <c r="AE13" i="31"/>
  <c r="AE12" i="31"/>
  <c r="AE11" i="31"/>
  <c r="AE10" i="31"/>
  <c r="AE9" i="31"/>
  <c r="AM8" i="31"/>
  <c r="AK8" i="31"/>
  <c r="AI8" i="31"/>
  <c r="AG8" i="31"/>
  <c r="AE8" i="31"/>
  <c r="AA18" i="31"/>
  <c r="Y18" i="31"/>
  <c r="W18" i="31"/>
  <c r="AA17" i="31"/>
  <c r="Y17" i="31"/>
  <c r="W17" i="31"/>
  <c r="AA16" i="31"/>
  <c r="Y16" i="31"/>
  <c r="W16" i="31"/>
  <c r="AA15" i="31"/>
  <c r="Y15" i="31"/>
  <c r="W15" i="31"/>
  <c r="AA14" i="31"/>
  <c r="Y14" i="31"/>
  <c r="W14" i="31"/>
  <c r="AA13" i="31"/>
  <c r="Y13" i="31"/>
  <c r="W13" i="31"/>
  <c r="AA12" i="31"/>
  <c r="Y12" i="31"/>
  <c r="W12" i="31"/>
  <c r="AA11" i="31"/>
  <c r="Y11" i="31"/>
  <c r="W11" i="31"/>
  <c r="AA10" i="31"/>
  <c r="Y10" i="31"/>
  <c r="W10" i="31"/>
  <c r="AA9" i="31"/>
  <c r="Y9" i="31"/>
  <c r="W9" i="31"/>
  <c r="AA8" i="31"/>
  <c r="Y8" i="31"/>
  <c r="W8" i="31"/>
  <c r="J1" i="31"/>
  <c r="F1" i="31"/>
  <c r="AE24" i="30"/>
  <c r="AE25" i="30"/>
  <c r="AE26" i="30"/>
  <c r="AE27" i="30"/>
  <c r="AE28" i="30"/>
  <c r="AE29" i="30"/>
  <c r="AE30" i="30"/>
  <c r="AE31" i="30"/>
  <c r="AE32" i="30"/>
  <c r="AE33" i="30"/>
  <c r="AE23" i="30"/>
  <c r="AE22" i="30"/>
  <c r="AE21" i="30"/>
  <c r="AE20" i="30"/>
  <c r="AE19" i="30"/>
  <c r="AE18" i="30"/>
  <c r="AE17" i="30"/>
  <c r="AE16" i="30"/>
  <c r="AE15" i="30"/>
  <c r="AE14" i="30"/>
  <c r="AE13" i="30"/>
  <c r="AE12" i="30"/>
  <c r="AE11" i="30"/>
  <c r="AE10" i="30"/>
  <c r="AE9" i="30"/>
  <c r="W32" i="30"/>
  <c r="Y32" i="30"/>
  <c r="AA32" i="30"/>
  <c r="AB32" i="30" s="1"/>
  <c r="W33" i="30"/>
  <c r="Y33" i="30"/>
  <c r="AA33" i="30"/>
  <c r="AB33" i="30"/>
  <c r="C323" i="30"/>
  <c r="C322" i="30"/>
  <c r="C321" i="30"/>
  <c r="C320" i="30"/>
  <c r="C319" i="30"/>
  <c r="AA31" i="30"/>
  <c r="Y31" i="30"/>
  <c r="AB31" i="30" s="1"/>
  <c r="W31" i="30"/>
  <c r="AA30" i="30"/>
  <c r="Y30" i="30"/>
  <c r="AB30" i="30" s="1"/>
  <c r="W30" i="30"/>
  <c r="AA29" i="30"/>
  <c r="Y29" i="30"/>
  <c r="AB29" i="30" s="1"/>
  <c r="W29" i="30"/>
  <c r="AA28" i="30"/>
  <c r="Y28" i="30"/>
  <c r="AB28" i="30" s="1"/>
  <c r="W28" i="30"/>
  <c r="AA27" i="30"/>
  <c r="Y27" i="30"/>
  <c r="AB27" i="30" s="1"/>
  <c r="W27" i="30"/>
  <c r="AA26" i="30"/>
  <c r="Y26" i="30"/>
  <c r="AB26" i="30" s="1"/>
  <c r="W26" i="30"/>
  <c r="AA25" i="30"/>
  <c r="Y25" i="30"/>
  <c r="AB25" i="30" s="1"/>
  <c r="W25" i="30"/>
  <c r="AA24" i="30"/>
  <c r="Y24" i="30"/>
  <c r="AB24" i="30" s="1"/>
  <c r="W24" i="30"/>
  <c r="AA23" i="30"/>
  <c r="Y23" i="30"/>
  <c r="W23" i="30"/>
  <c r="AA22" i="30"/>
  <c r="Y22" i="30"/>
  <c r="AB22" i="30" s="1"/>
  <c r="W22" i="30"/>
  <c r="AA21" i="30"/>
  <c r="Y21" i="30"/>
  <c r="W21" i="30"/>
  <c r="AA20" i="30"/>
  <c r="Y20" i="30"/>
  <c r="AB20" i="30" s="1"/>
  <c r="W20" i="30"/>
  <c r="AA19" i="30"/>
  <c r="Y19" i="30"/>
  <c r="W19" i="30"/>
  <c r="AA18" i="30"/>
  <c r="Y18" i="30"/>
  <c r="AB18" i="30" s="1"/>
  <c r="W18" i="30"/>
  <c r="AA17" i="30"/>
  <c r="Y17" i="30"/>
  <c r="W17" i="30"/>
  <c r="AA16" i="30"/>
  <c r="Y16" i="30"/>
  <c r="AB16" i="30" s="1"/>
  <c r="W16" i="30"/>
  <c r="AA15" i="30"/>
  <c r="Y15" i="30"/>
  <c r="W15" i="30"/>
  <c r="AA14" i="30"/>
  <c r="Y14" i="30"/>
  <c r="AB14" i="30" s="1"/>
  <c r="W14" i="30"/>
  <c r="AA13" i="30"/>
  <c r="Y13" i="30"/>
  <c r="W13" i="30"/>
  <c r="AA12" i="30"/>
  <c r="Y12" i="30"/>
  <c r="AB12" i="30" s="1"/>
  <c r="W12" i="30"/>
  <c r="AA11" i="30"/>
  <c r="Y11" i="30"/>
  <c r="W11" i="30"/>
  <c r="AA10" i="30"/>
  <c r="Y10" i="30"/>
  <c r="AB10" i="30" s="1"/>
  <c r="W10" i="30"/>
  <c r="AA9" i="30"/>
  <c r="Y9" i="30"/>
  <c r="W9" i="30"/>
  <c r="AA8" i="30"/>
  <c r="Y8" i="30"/>
  <c r="AB8" i="30" s="1"/>
  <c r="W8" i="30"/>
  <c r="N1" i="30"/>
  <c r="J1" i="30"/>
  <c r="P60" i="29"/>
  <c r="Q60" i="29"/>
  <c r="P59" i="29"/>
  <c r="Q59" i="29"/>
  <c r="P58" i="29"/>
  <c r="Q58" i="29"/>
  <c r="P57" i="29"/>
  <c r="Q57" i="29"/>
  <c r="P56" i="29"/>
  <c r="Q56" i="29"/>
  <c r="R55" i="29"/>
  <c r="P53" i="29"/>
  <c r="Q53" i="29"/>
  <c r="P52" i="29"/>
  <c r="Q52" i="29"/>
  <c r="P51" i="29"/>
  <c r="Q51" i="29"/>
  <c r="P50" i="29"/>
  <c r="Q50" i="29"/>
  <c r="P49" i="29"/>
  <c r="Q49" i="29"/>
  <c r="R48" i="29"/>
  <c r="P46" i="29"/>
  <c r="Q46" i="29"/>
  <c r="P45" i="29"/>
  <c r="Q45" i="29"/>
  <c r="P44" i="29"/>
  <c r="Q44" i="29"/>
  <c r="P43" i="29"/>
  <c r="Q43" i="29"/>
  <c r="P42" i="29"/>
  <c r="Q42" i="29"/>
  <c r="R41" i="29"/>
  <c r="P39" i="29"/>
  <c r="Q39" i="29"/>
  <c r="P38" i="29"/>
  <c r="Q38" i="29"/>
  <c r="P37" i="29"/>
  <c r="Q37" i="29"/>
  <c r="P36" i="29"/>
  <c r="Q36" i="29"/>
  <c r="P35" i="29"/>
  <c r="Q35" i="29"/>
  <c r="R34" i="29"/>
  <c r="P32" i="29"/>
  <c r="O32" i="29"/>
  <c r="N32" i="29"/>
  <c r="H32" i="29"/>
  <c r="Q32" i="29" s="1"/>
  <c r="P31" i="29"/>
  <c r="O31" i="29"/>
  <c r="N31" i="29"/>
  <c r="H31" i="29"/>
  <c r="Q31" i="29" s="1"/>
  <c r="P30" i="29"/>
  <c r="O30" i="29"/>
  <c r="N30" i="29"/>
  <c r="H30" i="29"/>
  <c r="Q30" i="29" s="1"/>
  <c r="P29" i="29"/>
  <c r="O29" i="29"/>
  <c r="N29" i="29"/>
  <c r="H29" i="29"/>
  <c r="Q29" i="29" s="1"/>
  <c r="P28" i="29"/>
  <c r="O28" i="29"/>
  <c r="N28" i="29"/>
  <c r="H28" i="29"/>
  <c r="Q28" i="29" s="1"/>
  <c r="R27" i="29"/>
  <c r="P25" i="29"/>
  <c r="O25" i="29"/>
  <c r="N25" i="29"/>
  <c r="H25" i="29"/>
  <c r="Q25" i="29" s="1"/>
  <c r="P24" i="29"/>
  <c r="O24" i="29"/>
  <c r="N24" i="29"/>
  <c r="H24" i="29"/>
  <c r="Q24" i="29" s="1"/>
  <c r="P23" i="29"/>
  <c r="O23" i="29"/>
  <c r="N23" i="29"/>
  <c r="H23" i="29"/>
  <c r="Q23" i="29" s="1"/>
  <c r="P22" i="29"/>
  <c r="O22" i="29"/>
  <c r="N22" i="29"/>
  <c r="H22" i="29"/>
  <c r="Q22" i="29" s="1"/>
  <c r="P21" i="29"/>
  <c r="O21" i="29"/>
  <c r="N21" i="29"/>
  <c r="H21" i="29"/>
  <c r="Q21" i="29" s="1"/>
  <c r="R20" i="29"/>
  <c r="P18" i="29"/>
  <c r="O18" i="29"/>
  <c r="N18" i="29"/>
  <c r="H18" i="29"/>
  <c r="Q18" i="29" s="1"/>
  <c r="P17" i="29"/>
  <c r="O17" i="29"/>
  <c r="N17" i="29"/>
  <c r="H17" i="29"/>
  <c r="Q17" i="29" s="1"/>
  <c r="P16" i="29"/>
  <c r="O16" i="29"/>
  <c r="N16" i="29"/>
  <c r="H16" i="29"/>
  <c r="Q16" i="29" s="1"/>
  <c r="P15" i="29"/>
  <c r="O15" i="29"/>
  <c r="N15" i="29"/>
  <c r="H15" i="29"/>
  <c r="Q15" i="29" s="1"/>
  <c r="P14" i="29"/>
  <c r="O14" i="29"/>
  <c r="N14" i="29"/>
  <c r="H14" i="29"/>
  <c r="Q14" i="29" s="1"/>
  <c r="R13" i="29"/>
  <c r="P11" i="29"/>
  <c r="O11" i="29"/>
  <c r="N11" i="29"/>
  <c r="H11" i="29"/>
  <c r="Q11" i="29" s="1"/>
  <c r="P10" i="29"/>
  <c r="O10" i="29"/>
  <c r="N10" i="29"/>
  <c r="H10" i="29"/>
  <c r="Q10" i="29" s="1"/>
  <c r="P9" i="29"/>
  <c r="O9" i="29"/>
  <c r="N9" i="29"/>
  <c r="H9" i="29"/>
  <c r="Q9" i="29" s="1"/>
  <c r="P8" i="29"/>
  <c r="O8" i="29"/>
  <c r="N8" i="29"/>
  <c r="H8" i="29"/>
  <c r="Q8" i="29" s="1"/>
  <c r="P7" i="29"/>
  <c r="O7" i="29"/>
  <c r="N7" i="29"/>
  <c r="H7" i="29"/>
  <c r="Q7" i="29" s="1"/>
  <c r="R6" i="29"/>
  <c r="I1" i="29"/>
  <c r="G1" i="29"/>
  <c r="AE32" i="29"/>
  <c r="AE31" i="29"/>
  <c r="AE30" i="29"/>
  <c r="AE29" i="29"/>
  <c r="AE28" i="29"/>
  <c r="AE25" i="29"/>
  <c r="AE24" i="29"/>
  <c r="AE23" i="29"/>
  <c r="AE22" i="29"/>
  <c r="AE21" i="29"/>
  <c r="AE18" i="29"/>
  <c r="AE17" i="29"/>
  <c r="AE16" i="29"/>
  <c r="AE15" i="29"/>
  <c r="AE14" i="29"/>
  <c r="AE11" i="29"/>
  <c r="AE10" i="29"/>
  <c r="AE9" i="29"/>
  <c r="AE8" i="29"/>
  <c r="AE7" i="29"/>
  <c r="P18" i="27"/>
  <c r="O18" i="27"/>
  <c r="N18" i="27"/>
  <c r="H18" i="27"/>
  <c r="Q18" i="27" s="1"/>
  <c r="P17" i="27"/>
  <c r="O17" i="27"/>
  <c r="N17" i="27"/>
  <c r="H17" i="27"/>
  <c r="Q17" i="27" s="1"/>
  <c r="P16" i="27"/>
  <c r="O16" i="27"/>
  <c r="N16" i="27"/>
  <c r="H16" i="27"/>
  <c r="Q16" i="27" s="1"/>
  <c r="P15" i="27"/>
  <c r="O15" i="27"/>
  <c r="N15" i="27"/>
  <c r="H15" i="27"/>
  <c r="Q15" i="27" s="1"/>
  <c r="P14" i="27"/>
  <c r="O14" i="27"/>
  <c r="N14" i="27"/>
  <c r="H14" i="27"/>
  <c r="Q14" i="27" s="1"/>
  <c r="R13" i="27"/>
  <c r="P11" i="27"/>
  <c r="O11" i="27"/>
  <c r="N11" i="27"/>
  <c r="H11" i="27"/>
  <c r="Q11" i="27" s="1"/>
  <c r="P10" i="27"/>
  <c r="O10" i="27"/>
  <c r="N10" i="27"/>
  <c r="H10" i="27"/>
  <c r="Q10" i="27" s="1"/>
  <c r="P9" i="27"/>
  <c r="O9" i="27"/>
  <c r="N9" i="27"/>
  <c r="H9" i="27"/>
  <c r="Q9" i="27" s="1"/>
  <c r="P8" i="27"/>
  <c r="O8" i="27"/>
  <c r="N8" i="27"/>
  <c r="H8" i="27"/>
  <c r="Q8" i="27" s="1"/>
  <c r="P7" i="27"/>
  <c r="O7" i="27"/>
  <c r="N7" i="27"/>
  <c r="H7" i="27"/>
  <c r="Q7" i="27" s="1"/>
  <c r="R6" i="27"/>
  <c r="E1" i="27"/>
  <c r="C1" i="27"/>
  <c r="AM17" i="27"/>
  <c r="AN17" i="27" s="1"/>
  <c r="AK17" i="27"/>
  <c r="AL17" i="27" s="1"/>
  <c r="AI17" i="27"/>
  <c r="AG17" i="27"/>
  <c r="AE17" i="27"/>
  <c r="AM16" i="27"/>
  <c r="AN16" i="27" s="1"/>
  <c r="AK16" i="27"/>
  <c r="AL16" i="27" s="1"/>
  <c r="AI16" i="27"/>
  <c r="AG16" i="27"/>
  <c r="AE16" i="27"/>
  <c r="AM15" i="27"/>
  <c r="AN15" i="27" s="1"/>
  <c r="AK15" i="27"/>
  <c r="AL15" i="27" s="1"/>
  <c r="AI15" i="27"/>
  <c r="AG15" i="27"/>
  <c r="AE15" i="27"/>
  <c r="AM14" i="27"/>
  <c r="AN14" i="27" s="1"/>
  <c r="AK14" i="27"/>
  <c r="AL14" i="27" s="1"/>
  <c r="AI14" i="27"/>
  <c r="AG14" i="27"/>
  <c r="AE14" i="27"/>
  <c r="AM10" i="27"/>
  <c r="AK10" i="27"/>
  <c r="AI10" i="27"/>
  <c r="AJ10" i="27" s="1"/>
  <c r="AG10" i="27"/>
  <c r="AE10" i="27"/>
  <c r="AM9" i="27"/>
  <c r="AN9" i="27" s="1"/>
  <c r="AK9" i="27"/>
  <c r="AL9" i="27" s="1"/>
  <c r="AI9" i="27"/>
  <c r="AG9" i="27"/>
  <c r="AE9" i="27"/>
  <c r="AM8" i="27"/>
  <c r="AN8" i="27" s="1"/>
  <c r="AK8" i="27"/>
  <c r="AL8" i="27" s="1"/>
  <c r="AI8" i="27"/>
  <c r="AG8" i="27"/>
  <c r="AE8" i="27"/>
  <c r="AM7" i="27"/>
  <c r="AN7" i="27" s="1"/>
  <c r="AK7" i="27"/>
  <c r="AL7" i="27" s="1"/>
  <c r="AI7" i="27"/>
  <c r="AG7" i="27"/>
  <c r="AE7" i="27"/>
  <c r="AE8" i="21"/>
  <c r="AG8" i="21"/>
  <c r="AI8" i="21"/>
  <c r="AK8" i="21"/>
  <c r="AL8" i="21" s="1"/>
  <c r="AM8" i="21"/>
  <c r="AN8" i="21" s="1"/>
  <c r="AE9" i="21"/>
  <c r="AG9" i="21"/>
  <c r="AI9" i="21"/>
  <c r="AK9" i="21"/>
  <c r="AL9" i="21" s="1"/>
  <c r="AM9" i="21"/>
  <c r="AN9" i="21" s="1"/>
  <c r="AE10" i="21"/>
  <c r="AG10" i="21"/>
  <c r="AI10" i="21"/>
  <c r="AK10" i="21"/>
  <c r="AL10" i="21" s="1"/>
  <c r="AM10" i="21"/>
  <c r="AN10" i="21" s="1"/>
  <c r="AE11" i="21"/>
  <c r="AG11" i="21"/>
  <c r="AI11" i="21"/>
  <c r="AK11" i="21"/>
  <c r="AL11" i="21" s="1"/>
  <c r="AM11" i="21"/>
  <c r="AN11" i="21" s="1"/>
  <c r="AE12" i="21"/>
  <c r="AG12" i="21"/>
  <c r="AI12" i="21"/>
  <c r="AK12" i="21"/>
  <c r="AL12" i="21" s="1"/>
  <c r="AM12" i="21"/>
  <c r="AN12" i="21" s="1"/>
  <c r="AN7" i="21"/>
  <c r="AL7" i="21"/>
  <c r="AM7" i="21"/>
  <c r="AK7" i="21"/>
  <c r="AI7" i="21"/>
  <c r="AG7" i="21"/>
  <c r="AE7" i="21"/>
  <c r="R12" i="21"/>
  <c r="Q12" i="21"/>
  <c r="P12" i="21"/>
  <c r="O12" i="21"/>
  <c r="I12" i="21"/>
  <c r="Q11" i="21"/>
  <c r="P11" i="21"/>
  <c r="O11" i="21"/>
  <c r="I11" i="21"/>
  <c r="R11" i="21" s="1"/>
  <c r="R10" i="21"/>
  <c r="Q10" i="21"/>
  <c r="P10" i="21"/>
  <c r="O10" i="21"/>
  <c r="I10" i="21"/>
  <c r="Q9" i="21"/>
  <c r="P9" i="21"/>
  <c r="O9" i="21"/>
  <c r="I9" i="21"/>
  <c r="R9" i="21" s="1"/>
  <c r="R8" i="21"/>
  <c r="Q8" i="21"/>
  <c r="P8" i="21"/>
  <c r="O8" i="21"/>
  <c r="I8" i="21"/>
  <c r="Q7" i="21"/>
  <c r="P7" i="21"/>
  <c r="O7" i="21"/>
  <c r="I7" i="21"/>
  <c r="R7" i="21" s="1"/>
  <c r="S6" i="21"/>
  <c r="F1" i="21"/>
  <c r="D1" i="21"/>
  <c r="AE23" i="28"/>
  <c r="AE22" i="28"/>
  <c r="AE21" i="28"/>
  <c r="AE20" i="28"/>
  <c r="AE19" i="28"/>
  <c r="AE18" i="28"/>
  <c r="AE17" i="28"/>
  <c r="AE16" i="28"/>
  <c r="AE15" i="28"/>
  <c r="AE14" i="28"/>
  <c r="AE13" i="28"/>
  <c r="AE12" i="28"/>
  <c r="AE11" i="28"/>
  <c r="AE10" i="28"/>
  <c r="AE9" i="28"/>
  <c r="W43" i="28"/>
  <c r="W42" i="28"/>
  <c r="W40" i="28"/>
  <c r="W39" i="28"/>
  <c r="W37" i="28"/>
  <c r="W36" i="28"/>
  <c r="W35" i="28"/>
  <c r="W34" i="28"/>
  <c r="X34" i="28" s="1"/>
  <c r="W32" i="28"/>
  <c r="Y31" i="28" s="1"/>
  <c r="W31" i="28"/>
  <c r="Z30" i="28" s="1"/>
  <c r="W30" i="28"/>
  <c r="Y29" i="28" s="1"/>
  <c r="W29" i="28"/>
  <c r="Z28" i="28" s="1"/>
  <c r="W28" i="28"/>
  <c r="Y27" i="28" s="1"/>
  <c r="W27" i="28"/>
  <c r="Z26" i="28" s="1"/>
  <c r="W26" i="28"/>
  <c r="Y25" i="28" s="1"/>
  <c r="W25" i="28"/>
  <c r="Z24" i="28" s="1"/>
  <c r="W23" i="28"/>
  <c r="W22" i="28"/>
  <c r="W21" i="28"/>
  <c r="W20" i="28"/>
  <c r="W19" i="28"/>
  <c r="W18" i="28"/>
  <c r="W17" i="28"/>
  <c r="W16" i="28"/>
  <c r="W15" i="28"/>
  <c r="W14" i="28"/>
  <c r="W13" i="28"/>
  <c r="W12" i="28"/>
  <c r="W11" i="28"/>
  <c r="W10" i="28"/>
  <c r="X10" i="28" s="1"/>
  <c r="W9" i="28"/>
  <c r="X9" i="28" s="1"/>
  <c r="S1" i="28"/>
  <c r="N1" i="28"/>
  <c r="AA19" i="26"/>
  <c r="Y19" i="26"/>
  <c r="W19" i="26"/>
  <c r="AA18" i="26"/>
  <c r="Y18" i="26"/>
  <c r="AB18" i="26" s="1"/>
  <c r="W18" i="26"/>
  <c r="AA17" i="26"/>
  <c r="Y17" i="26"/>
  <c r="W17" i="26"/>
  <c r="AA16" i="26"/>
  <c r="Y16" i="26"/>
  <c r="AB16" i="26" s="1"/>
  <c r="W16" i="26"/>
  <c r="AA15" i="26"/>
  <c r="Y15" i="26"/>
  <c r="W15" i="26"/>
  <c r="AA14" i="26"/>
  <c r="Y14" i="26"/>
  <c r="AB14" i="26" s="1"/>
  <c r="W14" i="26"/>
  <c r="AA13" i="26"/>
  <c r="Y13" i="26"/>
  <c r="W13" i="26"/>
  <c r="AA12" i="26"/>
  <c r="Y12" i="26"/>
  <c r="AB12" i="26" s="1"/>
  <c r="W12" i="26"/>
  <c r="AA11" i="26"/>
  <c r="Y11" i="26"/>
  <c r="W11" i="26"/>
  <c r="AA10" i="26"/>
  <c r="Y10" i="26"/>
  <c r="AB10" i="26" s="1"/>
  <c r="W10" i="26"/>
  <c r="AA9" i="26"/>
  <c r="Y9" i="26"/>
  <c r="W9" i="26"/>
  <c r="AL8" i="26"/>
  <c r="AK8" i="26"/>
  <c r="AJ8" i="26"/>
  <c r="AI8" i="26"/>
  <c r="AH8" i="26"/>
  <c r="AF8" i="26"/>
  <c r="AA8" i="26"/>
  <c r="Y8" i="26"/>
  <c r="AB8" i="26" s="1"/>
  <c r="W8" i="26"/>
  <c r="J1" i="26"/>
  <c r="F1" i="26"/>
  <c r="B35" i="25"/>
  <c r="B34" i="25"/>
  <c r="B33" i="25"/>
  <c r="B32" i="25"/>
  <c r="B31" i="25"/>
  <c r="B26" i="25"/>
  <c r="B25" i="25"/>
  <c r="B24" i="25"/>
  <c r="B23" i="25"/>
  <c r="J1" i="24"/>
  <c r="J1" i="25"/>
  <c r="AA18" i="25"/>
  <c r="Y18" i="25"/>
  <c r="W18" i="25"/>
  <c r="AA17" i="25"/>
  <c r="Y17" i="25"/>
  <c r="W17" i="25"/>
  <c r="AA16" i="25"/>
  <c r="Y16" i="25"/>
  <c r="W16" i="25"/>
  <c r="AA15" i="25"/>
  <c r="Y15" i="25"/>
  <c r="W15" i="25"/>
  <c r="AA14" i="25"/>
  <c r="Y14" i="25"/>
  <c r="W14" i="25"/>
  <c r="AA13" i="25"/>
  <c r="Y13" i="25"/>
  <c r="W13" i="25"/>
  <c r="AA12" i="25"/>
  <c r="Y12" i="25"/>
  <c r="W12" i="25"/>
  <c r="AA11" i="25"/>
  <c r="Y11" i="25"/>
  <c r="AB11" i="25" s="1"/>
  <c r="W11" i="25"/>
  <c r="AA10" i="25"/>
  <c r="Y10" i="25"/>
  <c r="W10" i="25"/>
  <c r="AA9" i="25"/>
  <c r="Y9" i="25"/>
  <c r="AB9" i="25" s="1"/>
  <c r="W9" i="25"/>
  <c r="AL8" i="25"/>
  <c r="AK8" i="25" s="1"/>
  <c r="AJ8" i="25"/>
  <c r="AI8" i="25" s="1"/>
  <c r="AH8" i="25"/>
  <c r="AF8" i="25"/>
  <c r="AA8" i="25"/>
  <c r="Y8" i="25"/>
  <c r="W8" i="25"/>
  <c r="F1" i="25"/>
  <c r="AA17" i="24"/>
  <c r="Y17" i="24"/>
  <c r="W17" i="24"/>
  <c r="AA16" i="24"/>
  <c r="Y16" i="24"/>
  <c r="W16" i="24"/>
  <c r="AA15" i="24"/>
  <c r="Y15" i="24"/>
  <c r="W15" i="24"/>
  <c r="AA14" i="24"/>
  <c r="Y14" i="24"/>
  <c r="W14" i="24"/>
  <c r="AA13" i="24"/>
  <c r="Y13" i="24"/>
  <c r="W13" i="24"/>
  <c r="AA12" i="24"/>
  <c r="Y12" i="24"/>
  <c r="W12" i="24"/>
  <c r="AA11" i="24"/>
  <c r="Y11" i="24"/>
  <c r="W11" i="24"/>
  <c r="AA10" i="24"/>
  <c r="Y10" i="24"/>
  <c r="W10" i="24"/>
  <c r="AA9" i="24"/>
  <c r="Y9" i="24"/>
  <c r="W9" i="24"/>
  <c r="AL8" i="24"/>
  <c r="AK8" i="24" s="1"/>
  <c r="AJ8" i="24"/>
  <c r="AI8" i="24" s="1"/>
  <c r="AH8" i="24"/>
  <c r="AF8" i="24"/>
  <c r="AA8" i="24"/>
  <c r="Y8" i="24"/>
  <c r="W8" i="24"/>
  <c r="F1" i="24"/>
  <c r="AK8" i="23"/>
  <c r="AI8" i="23"/>
  <c r="AG8" i="23"/>
  <c r="AE8" i="23"/>
  <c r="J1" i="23"/>
  <c r="C323" i="23"/>
  <c r="C322" i="23"/>
  <c r="C321" i="23"/>
  <c r="C320" i="23"/>
  <c r="C319" i="23"/>
  <c r="AA31" i="23"/>
  <c r="Y31" i="23"/>
  <c r="AB31" i="23" s="1"/>
  <c r="W31" i="23"/>
  <c r="AA30" i="23"/>
  <c r="Y30" i="23"/>
  <c r="AB30" i="23" s="1"/>
  <c r="W30" i="23"/>
  <c r="AA29" i="23"/>
  <c r="Y29" i="23"/>
  <c r="AB29" i="23" s="1"/>
  <c r="W29" i="23"/>
  <c r="AA28" i="23"/>
  <c r="Y28" i="23"/>
  <c r="AB28" i="23" s="1"/>
  <c r="W28" i="23"/>
  <c r="AA27" i="23"/>
  <c r="Y27" i="23"/>
  <c r="AB27" i="23" s="1"/>
  <c r="W27" i="23"/>
  <c r="AA26" i="23"/>
  <c r="Y26" i="23"/>
  <c r="AB26" i="23" s="1"/>
  <c r="W26" i="23"/>
  <c r="AA25" i="23"/>
  <c r="Y25" i="23"/>
  <c r="AB25" i="23" s="1"/>
  <c r="W25" i="23"/>
  <c r="AD24" i="23"/>
  <c r="AA24" i="23"/>
  <c r="Y24" i="23"/>
  <c r="AB24" i="23" s="1"/>
  <c r="W24" i="23"/>
  <c r="AD23" i="23"/>
  <c r="AA23" i="23"/>
  <c r="Y23" i="23"/>
  <c r="AB23" i="23" s="1"/>
  <c r="W23" i="23"/>
  <c r="AD22" i="23"/>
  <c r="AA22" i="23"/>
  <c r="Y22" i="23"/>
  <c r="AB22" i="23" s="1"/>
  <c r="W22" i="23"/>
  <c r="AD21" i="23"/>
  <c r="AA21" i="23"/>
  <c r="Y21" i="23"/>
  <c r="W21" i="23"/>
  <c r="AD20" i="23"/>
  <c r="AA20" i="23"/>
  <c r="Y20" i="23"/>
  <c r="AB20" i="23" s="1"/>
  <c r="W20" i="23"/>
  <c r="AD19" i="23"/>
  <c r="AA19" i="23"/>
  <c r="Y19" i="23"/>
  <c r="W19" i="23"/>
  <c r="AD18" i="23"/>
  <c r="AA18" i="23"/>
  <c r="Y18" i="23"/>
  <c r="AB18" i="23" s="1"/>
  <c r="W18" i="23"/>
  <c r="AD17" i="23"/>
  <c r="AA17" i="23"/>
  <c r="Y17" i="23"/>
  <c r="W17" i="23"/>
  <c r="AD16" i="23"/>
  <c r="AA16" i="23"/>
  <c r="Y16" i="23"/>
  <c r="AB16" i="23" s="1"/>
  <c r="W16" i="23"/>
  <c r="AD15" i="23"/>
  <c r="AA15" i="23"/>
  <c r="Y15" i="23"/>
  <c r="W15" i="23"/>
  <c r="AD14" i="23"/>
  <c r="AA14" i="23"/>
  <c r="Y14" i="23"/>
  <c r="AB14" i="23" s="1"/>
  <c r="W14" i="23"/>
  <c r="AD13" i="23"/>
  <c r="AA13" i="23"/>
  <c r="Y13" i="23"/>
  <c r="W13" i="23"/>
  <c r="AD12" i="23"/>
  <c r="AA12" i="23"/>
  <c r="Y12" i="23"/>
  <c r="AB12" i="23" s="1"/>
  <c r="W12" i="23"/>
  <c r="AD11" i="23"/>
  <c r="AA11" i="23"/>
  <c r="Y11" i="23"/>
  <c r="AB11" i="23" s="1"/>
  <c r="W11" i="23"/>
  <c r="AD10" i="23"/>
  <c r="AA10" i="23"/>
  <c r="Y10" i="23"/>
  <c r="AB10" i="23" s="1"/>
  <c r="W10" i="23"/>
  <c r="AD9" i="23"/>
  <c r="AA9" i="23"/>
  <c r="Y9" i="23"/>
  <c r="AB9" i="23" s="1"/>
  <c r="W9" i="23"/>
  <c r="AL8" i="23"/>
  <c r="AJ8" i="23"/>
  <c r="AH8" i="23"/>
  <c r="AF8" i="23"/>
  <c r="AA8" i="23"/>
  <c r="Y8" i="23"/>
  <c r="AB8" i="23" s="1"/>
  <c r="W8" i="23"/>
  <c r="A4" i="23"/>
  <c r="A3" i="23"/>
  <c r="A2" i="23"/>
  <c r="F1" i="23"/>
  <c r="A1" i="23"/>
  <c r="C313" i="11"/>
  <c r="C311" i="13"/>
  <c r="C313" i="15"/>
  <c r="C311" i="16"/>
  <c r="C311" i="17"/>
  <c r="C311" i="19"/>
  <c r="C309" i="18"/>
  <c r="C310" i="12"/>
  <c r="C308" i="20"/>
  <c r="AC5" i="4"/>
  <c r="AB5" i="4"/>
  <c r="AA5" i="4"/>
  <c r="Z5" i="4"/>
  <c r="Y5" i="4"/>
  <c r="X5" i="4"/>
  <c r="W5" i="4"/>
  <c r="V5" i="4"/>
  <c r="U5" i="4"/>
  <c r="T5" i="4"/>
  <c r="S5" i="4"/>
  <c r="R5" i="4"/>
  <c r="Q5" i="4"/>
  <c r="P5" i="4"/>
  <c r="C307" i="20"/>
  <c r="C306" i="20"/>
  <c r="C305" i="20"/>
  <c r="C304" i="20"/>
  <c r="C303" i="20"/>
  <c r="C302" i="20"/>
  <c r="C301" i="20"/>
  <c r="C300" i="20"/>
  <c r="AL16" i="20"/>
  <c r="AK16" i="20" s="1"/>
  <c r="AJ16" i="20"/>
  <c r="AI16" i="20" s="1"/>
  <c r="AH16" i="20"/>
  <c r="AF16" i="20"/>
  <c r="AA16" i="20"/>
  <c r="Y16" i="20"/>
  <c r="W16" i="20"/>
  <c r="AL15" i="20"/>
  <c r="AK15" i="20" s="1"/>
  <c r="AJ15" i="20"/>
  <c r="AI15" i="20" s="1"/>
  <c r="AH15" i="20"/>
  <c r="AF15" i="20"/>
  <c r="AA15" i="20"/>
  <c r="Y15" i="20"/>
  <c r="W15" i="20"/>
  <c r="AL14" i="20"/>
  <c r="AK14" i="20" s="1"/>
  <c r="AJ14" i="20"/>
  <c r="AI14" i="20" s="1"/>
  <c r="AH14" i="20"/>
  <c r="AF14" i="20"/>
  <c r="AA14" i="20"/>
  <c r="Y14" i="20"/>
  <c r="W14" i="20"/>
  <c r="AL13" i="20"/>
  <c r="AK13" i="20" s="1"/>
  <c r="AJ13" i="20"/>
  <c r="AI13" i="20" s="1"/>
  <c r="AH13" i="20"/>
  <c r="AF13" i="20"/>
  <c r="AA13" i="20"/>
  <c r="Y13" i="20"/>
  <c r="W13" i="20"/>
  <c r="AL12" i="20"/>
  <c r="AK12" i="20" s="1"/>
  <c r="AJ12" i="20"/>
  <c r="AI12" i="20" s="1"/>
  <c r="AH12" i="20"/>
  <c r="AF12" i="20"/>
  <c r="AA12" i="20"/>
  <c r="Y12" i="20"/>
  <c r="W12" i="20"/>
  <c r="AL11" i="20"/>
  <c r="AK11" i="20" s="1"/>
  <c r="AJ11" i="20"/>
  <c r="AI11" i="20" s="1"/>
  <c r="AH11" i="20"/>
  <c r="AF11" i="20"/>
  <c r="AA11" i="20"/>
  <c r="Y11" i="20"/>
  <c r="AB11" i="20" s="1"/>
  <c r="W11" i="20"/>
  <c r="AL10" i="20"/>
  <c r="AK10" i="20" s="1"/>
  <c r="AJ10" i="20"/>
  <c r="AI10" i="20" s="1"/>
  <c r="AH10" i="20"/>
  <c r="AF10" i="20"/>
  <c r="AA10" i="20"/>
  <c r="Y10" i="20"/>
  <c r="W10" i="20"/>
  <c r="AL9" i="20"/>
  <c r="AK9" i="20" s="1"/>
  <c r="AJ9" i="20"/>
  <c r="AI9" i="20" s="1"/>
  <c r="AH9" i="20"/>
  <c r="AF9" i="20"/>
  <c r="AA9" i="20"/>
  <c r="Y9" i="20"/>
  <c r="AB9" i="20" s="1"/>
  <c r="W9" i="20"/>
  <c r="AL8" i="20"/>
  <c r="AK8" i="20" s="1"/>
  <c r="AJ8" i="20"/>
  <c r="AI8" i="20" s="1"/>
  <c r="AH8" i="20"/>
  <c r="AF8" i="20"/>
  <c r="AA8" i="20"/>
  <c r="Y8" i="20"/>
  <c r="W8" i="20"/>
  <c r="J1" i="20"/>
  <c r="F1" i="20"/>
  <c r="C310" i="19"/>
  <c r="C309" i="19"/>
  <c r="C308" i="19"/>
  <c r="C307" i="19"/>
  <c r="C306" i="19"/>
  <c r="C305" i="19"/>
  <c r="C304" i="19"/>
  <c r="C303" i="19"/>
  <c r="C302" i="19"/>
  <c r="C301" i="19"/>
  <c r="C300" i="19"/>
  <c r="AL19" i="19"/>
  <c r="AK19" i="19" s="1"/>
  <c r="AJ19" i="19"/>
  <c r="AI19" i="19" s="1"/>
  <c r="AH19" i="19"/>
  <c r="AF19" i="19"/>
  <c r="AA19" i="19"/>
  <c r="Y19" i="19"/>
  <c r="W19" i="19"/>
  <c r="AL18" i="19"/>
  <c r="AK18" i="19" s="1"/>
  <c r="AJ18" i="19"/>
  <c r="AI18" i="19" s="1"/>
  <c r="AH18" i="19"/>
  <c r="AF18" i="19"/>
  <c r="AA18" i="19"/>
  <c r="Y18" i="19"/>
  <c r="W18" i="19"/>
  <c r="AL17" i="19"/>
  <c r="AK17" i="19" s="1"/>
  <c r="AJ17" i="19"/>
  <c r="AI17" i="19" s="1"/>
  <c r="AH17" i="19"/>
  <c r="AF17" i="19"/>
  <c r="AA17" i="19"/>
  <c r="Y17" i="19"/>
  <c r="W17" i="19"/>
  <c r="AL16" i="19"/>
  <c r="AK16" i="19" s="1"/>
  <c r="AJ16" i="19"/>
  <c r="AI16" i="19" s="1"/>
  <c r="AH16" i="19"/>
  <c r="AF16" i="19"/>
  <c r="AA16" i="19"/>
  <c r="Y16" i="19"/>
  <c r="W16" i="19"/>
  <c r="AL15" i="19"/>
  <c r="AK15" i="19" s="1"/>
  <c r="AJ15" i="19"/>
  <c r="AI15" i="19" s="1"/>
  <c r="AH15" i="19"/>
  <c r="AF15" i="19"/>
  <c r="AA15" i="19"/>
  <c r="Y15" i="19"/>
  <c r="W15" i="19"/>
  <c r="AL14" i="19"/>
  <c r="AK14" i="19" s="1"/>
  <c r="AJ14" i="19"/>
  <c r="AI14" i="19" s="1"/>
  <c r="AH14" i="19"/>
  <c r="AF14" i="19"/>
  <c r="AA14" i="19"/>
  <c r="Y14" i="19"/>
  <c r="W14" i="19"/>
  <c r="AL13" i="19"/>
  <c r="AK13" i="19" s="1"/>
  <c r="AJ13" i="19"/>
  <c r="AI13" i="19" s="1"/>
  <c r="AH13" i="19"/>
  <c r="AF13" i="19"/>
  <c r="AA13" i="19"/>
  <c r="Y13" i="19"/>
  <c r="W13" i="19"/>
  <c r="AL12" i="19"/>
  <c r="AK12" i="19" s="1"/>
  <c r="AJ12" i="19"/>
  <c r="AI12" i="19" s="1"/>
  <c r="AH12" i="19"/>
  <c r="AF12" i="19"/>
  <c r="AA12" i="19"/>
  <c r="Y12" i="19"/>
  <c r="W12" i="19"/>
  <c r="AL11" i="19"/>
  <c r="AK11" i="19" s="1"/>
  <c r="AJ11" i="19"/>
  <c r="AI11" i="19" s="1"/>
  <c r="AH11" i="19"/>
  <c r="AF11" i="19"/>
  <c r="AA11" i="19"/>
  <c r="Y11" i="19"/>
  <c r="W11" i="19"/>
  <c r="AL10" i="19"/>
  <c r="AK10" i="19" s="1"/>
  <c r="AJ10" i="19"/>
  <c r="AI10" i="19" s="1"/>
  <c r="AH10" i="19"/>
  <c r="AF10" i="19"/>
  <c r="AA10" i="19"/>
  <c r="Y10" i="19"/>
  <c r="W10" i="19"/>
  <c r="AL9" i="19"/>
  <c r="AK9" i="19" s="1"/>
  <c r="AJ9" i="19"/>
  <c r="AI9" i="19" s="1"/>
  <c r="AH9" i="19"/>
  <c r="AF9" i="19"/>
  <c r="AA9" i="19"/>
  <c r="Y9" i="19"/>
  <c r="W9" i="19"/>
  <c r="AL8" i="19"/>
  <c r="AK8" i="19" s="1"/>
  <c r="AJ8" i="19"/>
  <c r="AI8" i="19" s="1"/>
  <c r="AH8" i="19"/>
  <c r="AF8" i="19"/>
  <c r="AA8" i="19"/>
  <c r="Y8" i="19"/>
  <c r="W8" i="19"/>
  <c r="J1" i="19"/>
  <c r="F1" i="19"/>
  <c r="C308" i="18"/>
  <c r="C307" i="18"/>
  <c r="C306" i="18"/>
  <c r="C305" i="18"/>
  <c r="C304" i="18"/>
  <c r="C303" i="18"/>
  <c r="C302" i="18"/>
  <c r="C301" i="18"/>
  <c r="C300" i="18"/>
  <c r="AL17" i="18"/>
  <c r="AK17" i="18" s="1"/>
  <c r="AJ17" i="18"/>
  <c r="AI17" i="18" s="1"/>
  <c r="AH17" i="18"/>
  <c r="AF17" i="18"/>
  <c r="AA17" i="18"/>
  <c r="Y17" i="18"/>
  <c r="W17" i="18"/>
  <c r="AL16" i="18"/>
  <c r="AK16" i="18" s="1"/>
  <c r="AJ16" i="18"/>
  <c r="AI16" i="18" s="1"/>
  <c r="AH16" i="18"/>
  <c r="AF16" i="18"/>
  <c r="AA16" i="18"/>
  <c r="Y16" i="18"/>
  <c r="AB16" i="18" s="1"/>
  <c r="W16" i="18"/>
  <c r="AL15" i="18"/>
  <c r="AK15" i="18" s="1"/>
  <c r="AJ15" i="18"/>
  <c r="AI15" i="18" s="1"/>
  <c r="AH15" i="18"/>
  <c r="AF15" i="18"/>
  <c r="AA15" i="18"/>
  <c r="Y15" i="18"/>
  <c r="W15" i="18"/>
  <c r="AL14" i="18"/>
  <c r="AK14" i="18" s="1"/>
  <c r="AJ14" i="18"/>
  <c r="AI14" i="18" s="1"/>
  <c r="AH14" i="18"/>
  <c r="AF14" i="18"/>
  <c r="AA14" i="18"/>
  <c r="Y14" i="18"/>
  <c r="AB14" i="18" s="1"/>
  <c r="W14" i="18"/>
  <c r="AL13" i="18"/>
  <c r="AK13" i="18" s="1"/>
  <c r="AJ13" i="18"/>
  <c r="AI13" i="18" s="1"/>
  <c r="AH13" i="18"/>
  <c r="AF13" i="18"/>
  <c r="AA13" i="18"/>
  <c r="Y13" i="18"/>
  <c r="W13" i="18"/>
  <c r="AL12" i="18"/>
  <c r="AK12" i="18" s="1"/>
  <c r="AJ12" i="18"/>
  <c r="AI12" i="18" s="1"/>
  <c r="AH12" i="18"/>
  <c r="AF12" i="18"/>
  <c r="AA12" i="18"/>
  <c r="Y12" i="18"/>
  <c r="AB12" i="18" s="1"/>
  <c r="W12" i="18"/>
  <c r="AL11" i="18"/>
  <c r="AK11" i="18" s="1"/>
  <c r="AJ11" i="18"/>
  <c r="AI11" i="18" s="1"/>
  <c r="AH11" i="18"/>
  <c r="AF11" i="18"/>
  <c r="AA11" i="18"/>
  <c r="Y11" i="18"/>
  <c r="W11" i="18"/>
  <c r="AL10" i="18"/>
  <c r="AK10" i="18" s="1"/>
  <c r="AJ10" i="18"/>
  <c r="AI10" i="18" s="1"/>
  <c r="AH10" i="18"/>
  <c r="AF10" i="18"/>
  <c r="AA10" i="18"/>
  <c r="Y10" i="18"/>
  <c r="AB10" i="18" s="1"/>
  <c r="W10" i="18"/>
  <c r="AL9" i="18"/>
  <c r="AK9" i="18" s="1"/>
  <c r="AJ9" i="18"/>
  <c r="AI9" i="18" s="1"/>
  <c r="AH9" i="18"/>
  <c r="AF9" i="18"/>
  <c r="AA9" i="18"/>
  <c r="Y9" i="18"/>
  <c r="W9" i="18"/>
  <c r="AL8" i="18"/>
  <c r="AK8" i="18" s="1"/>
  <c r="AJ8" i="18"/>
  <c r="AI8" i="18" s="1"/>
  <c r="AH8" i="18"/>
  <c r="AF8" i="18"/>
  <c r="AA8" i="18"/>
  <c r="Y8" i="18"/>
  <c r="AB8" i="18" s="1"/>
  <c r="W8" i="18"/>
  <c r="J1" i="18"/>
  <c r="F1" i="18"/>
  <c r="C310" i="17"/>
  <c r="C309" i="17"/>
  <c r="C308" i="17"/>
  <c r="C307" i="17"/>
  <c r="C306" i="17"/>
  <c r="C305" i="17"/>
  <c r="C304" i="17"/>
  <c r="C303" i="17"/>
  <c r="C302" i="17"/>
  <c r="C301" i="17"/>
  <c r="C300" i="17"/>
  <c r="AL19" i="17"/>
  <c r="AK19" i="17" s="1"/>
  <c r="AJ19" i="17"/>
  <c r="AI19" i="17" s="1"/>
  <c r="AH19" i="17"/>
  <c r="AF19" i="17"/>
  <c r="AA19" i="17"/>
  <c r="Y19" i="17"/>
  <c r="W19" i="17"/>
  <c r="AL18" i="17"/>
  <c r="AJ18" i="17"/>
  <c r="AH18" i="17"/>
  <c r="AG18" i="17" s="1"/>
  <c r="AF18" i="17"/>
  <c r="AA18" i="17"/>
  <c r="Y18" i="17"/>
  <c r="W18" i="17"/>
  <c r="AL17" i="17"/>
  <c r="AK17" i="17" s="1"/>
  <c r="AJ17" i="17"/>
  <c r="AI17" i="17" s="1"/>
  <c r="AH17" i="17"/>
  <c r="AF17" i="17"/>
  <c r="AA17" i="17"/>
  <c r="Y17" i="17"/>
  <c r="W17" i="17"/>
  <c r="AL16" i="17"/>
  <c r="AK16" i="17" s="1"/>
  <c r="AJ16" i="17"/>
  <c r="AI16" i="17" s="1"/>
  <c r="AH16" i="17"/>
  <c r="AF16" i="17"/>
  <c r="AA16" i="17"/>
  <c r="Y16" i="17"/>
  <c r="W16" i="17"/>
  <c r="AL15" i="17"/>
  <c r="AK15" i="17" s="1"/>
  <c r="AJ15" i="17"/>
  <c r="AI15" i="17" s="1"/>
  <c r="AH15" i="17"/>
  <c r="AF15" i="17"/>
  <c r="AA15" i="17"/>
  <c r="Y15" i="17"/>
  <c r="W15" i="17"/>
  <c r="AL14" i="17"/>
  <c r="AK14" i="17" s="1"/>
  <c r="AJ14" i="17"/>
  <c r="AI14" i="17" s="1"/>
  <c r="AH14" i="17"/>
  <c r="AF14" i="17"/>
  <c r="AA14" i="17"/>
  <c r="Y14" i="17"/>
  <c r="W14" i="17"/>
  <c r="AL13" i="17"/>
  <c r="AK13" i="17" s="1"/>
  <c r="AJ13" i="17"/>
  <c r="AI13" i="17" s="1"/>
  <c r="AH13" i="17"/>
  <c r="AF13" i="17"/>
  <c r="AA13" i="17"/>
  <c r="Y13" i="17"/>
  <c r="W13" i="17"/>
  <c r="AL12" i="17"/>
  <c r="AK12" i="17" s="1"/>
  <c r="AJ12" i="17"/>
  <c r="AI12" i="17" s="1"/>
  <c r="AH12" i="17"/>
  <c r="AF12" i="17"/>
  <c r="AA12" i="17"/>
  <c r="Y12" i="17"/>
  <c r="W12" i="17"/>
  <c r="AL11" i="17"/>
  <c r="AK11" i="17" s="1"/>
  <c r="AJ11" i="17"/>
  <c r="AI11" i="17" s="1"/>
  <c r="AH11" i="17"/>
  <c r="AF11" i="17"/>
  <c r="AA11" i="17"/>
  <c r="Y11" i="17"/>
  <c r="W11" i="17"/>
  <c r="AL10" i="17"/>
  <c r="AK10" i="17" s="1"/>
  <c r="AJ10" i="17"/>
  <c r="AI10" i="17" s="1"/>
  <c r="AH10" i="17"/>
  <c r="AF10" i="17"/>
  <c r="AA10" i="17"/>
  <c r="Y10" i="17"/>
  <c r="W10" i="17"/>
  <c r="AL9" i="17"/>
  <c r="AJ9" i="17"/>
  <c r="AH9" i="17"/>
  <c r="AG9" i="17" s="1"/>
  <c r="AF9" i="17"/>
  <c r="AA9" i="17"/>
  <c r="Y9" i="17"/>
  <c r="W9" i="17"/>
  <c r="AL8" i="17"/>
  <c r="AK8" i="17" s="1"/>
  <c r="AJ8" i="17"/>
  <c r="AI8" i="17" s="1"/>
  <c r="AH8" i="17"/>
  <c r="AF8" i="17"/>
  <c r="AA8" i="17"/>
  <c r="Y8" i="17"/>
  <c r="W8" i="17"/>
  <c r="J1" i="17"/>
  <c r="F1" i="17"/>
  <c r="C310" i="16"/>
  <c r="C309" i="16"/>
  <c r="C308" i="16"/>
  <c r="C307" i="16"/>
  <c r="C306" i="16"/>
  <c r="C305" i="16"/>
  <c r="C304" i="16"/>
  <c r="C303" i="16"/>
  <c r="C302" i="16"/>
  <c r="C301" i="16"/>
  <c r="C300" i="16"/>
  <c r="AL19" i="16"/>
  <c r="AK19" i="16" s="1"/>
  <c r="AJ19" i="16"/>
  <c r="AI19" i="16" s="1"/>
  <c r="AH19" i="16"/>
  <c r="AF19" i="16"/>
  <c r="AA19" i="16"/>
  <c r="Y19" i="16"/>
  <c r="W19" i="16"/>
  <c r="AL18" i="16"/>
  <c r="AK18" i="16" s="1"/>
  <c r="AJ18" i="16"/>
  <c r="AI18" i="16" s="1"/>
  <c r="AH18" i="16"/>
  <c r="AF18" i="16"/>
  <c r="AA18" i="16"/>
  <c r="Y18" i="16"/>
  <c r="W18" i="16"/>
  <c r="AL17" i="16"/>
  <c r="AK17" i="16" s="1"/>
  <c r="AJ17" i="16"/>
  <c r="AI17" i="16" s="1"/>
  <c r="AH17" i="16"/>
  <c r="AF17" i="16"/>
  <c r="AA17" i="16"/>
  <c r="Y17" i="16"/>
  <c r="W17" i="16"/>
  <c r="AL16" i="16"/>
  <c r="AJ16" i="16"/>
  <c r="AH16" i="16"/>
  <c r="AG16" i="16" s="1"/>
  <c r="AF16" i="16"/>
  <c r="AA16" i="16"/>
  <c r="Y16" i="16"/>
  <c r="W16" i="16"/>
  <c r="AL15" i="16"/>
  <c r="AK15" i="16" s="1"/>
  <c r="AJ15" i="16"/>
  <c r="AI15" i="16" s="1"/>
  <c r="AH15" i="16"/>
  <c r="AF15" i="16"/>
  <c r="AA15" i="16"/>
  <c r="Y15" i="16"/>
  <c r="W15" i="16"/>
  <c r="AL14" i="16"/>
  <c r="AK14" i="16" s="1"/>
  <c r="AJ14" i="16"/>
  <c r="AI14" i="16" s="1"/>
  <c r="AH14" i="16"/>
  <c r="AF14" i="16"/>
  <c r="AA14" i="16"/>
  <c r="Y14" i="16"/>
  <c r="W14" i="16"/>
  <c r="AL13" i="16"/>
  <c r="AK13" i="16" s="1"/>
  <c r="AJ13" i="16"/>
  <c r="AI13" i="16" s="1"/>
  <c r="AH13" i="16"/>
  <c r="AF13" i="16"/>
  <c r="AA13" i="16"/>
  <c r="Y13" i="16"/>
  <c r="W13" i="16"/>
  <c r="AL12" i="16"/>
  <c r="AK12" i="16" s="1"/>
  <c r="AJ12" i="16"/>
  <c r="AI12" i="16" s="1"/>
  <c r="AH12" i="16"/>
  <c r="AF12" i="16"/>
  <c r="AA12" i="16"/>
  <c r="Y12" i="16"/>
  <c r="W12" i="16"/>
  <c r="AL11" i="16"/>
  <c r="AK11" i="16" s="1"/>
  <c r="AJ11" i="16"/>
  <c r="AI11" i="16" s="1"/>
  <c r="AH11" i="16"/>
  <c r="AF11" i="16"/>
  <c r="AA11" i="16"/>
  <c r="Y11" i="16"/>
  <c r="W11" i="16"/>
  <c r="AL10" i="16"/>
  <c r="AK10" i="16" s="1"/>
  <c r="AJ10" i="16"/>
  <c r="AI10" i="16" s="1"/>
  <c r="AH10" i="16"/>
  <c r="AF10" i="16"/>
  <c r="AA10" i="16"/>
  <c r="Y10" i="16"/>
  <c r="W10" i="16"/>
  <c r="AL9" i="16"/>
  <c r="AK9" i="16" s="1"/>
  <c r="AJ9" i="16"/>
  <c r="AI9" i="16" s="1"/>
  <c r="AH9" i="16"/>
  <c r="AF9" i="16"/>
  <c r="AA9" i="16"/>
  <c r="Y9" i="16"/>
  <c r="W9" i="16"/>
  <c r="AL8" i="16"/>
  <c r="AK8" i="16" s="1"/>
  <c r="AJ8" i="16"/>
  <c r="AI8" i="16" s="1"/>
  <c r="AH8" i="16"/>
  <c r="AF8" i="16"/>
  <c r="AA8" i="16"/>
  <c r="Y8" i="16"/>
  <c r="W8" i="16"/>
  <c r="J1" i="16"/>
  <c r="F1" i="16"/>
  <c r="C312" i="15"/>
  <c r="C311" i="15"/>
  <c r="C310" i="15"/>
  <c r="C309" i="15"/>
  <c r="C308" i="15"/>
  <c r="C307" i="15"/>
  <c r="C306" i="15"/>
  <c r="C305" i="15"/>
  <c r="C304" i="15"/>
  <c r="C303" i="15"/>
  <c r="C302" i="15"/>
  <c r="C301" i="15"/>
  <c r="C300" i="15"/>
  <c r="AL21" i="15"/>
  <c r="AK21" i="15" s="1"/>
  <c r="AJ21" i="15"/>
  <c r="AI21" i="15" s="1"/>
  <c r="AH21" i="15"/>
  <c r="AF21" i="15"/>
  <c r="AA21" i="15"/>
  <c r="Y21" i="15"/>
  <c r="AB21" i="15" s="1"/>
  <c r="W21" i="15"/>
  <c r="AL20" i="15"/>
  <c r="AK20" i="15" s="1"/>
  <c r="AJ20" i="15"/>
  <c r="AI20" i="15" s="1"/>
  <c r="AH20" i="15"/>
  <c r="AF20" i="15"/>
  <c r="AA20" i="15"/>
  <c r="Y20" i="15"/>
  <c r="W20" i="15"/>
  <c r="AL19" i="15"/>
  <c r="AK19" i="15" s="1"/>
  <c r="AJ19" i="15"/>
  <c r="AI19" i="15" s="1"/>
  <c r="AH19" i="15"/>
  <c r="AF19" i="15"/>
  <c r="AA19" i="15"/>
  <c r="Y19" i="15"/>
  <c r="W19" i="15"/>
  <c r="AL18" i="15"/>
  <c r="AK18" i="15" s="1"/>
  <c r="AJ18" i="15"/>
  <c r="AI18" i="15" s="1"/>
  <c r="AH18" i="15"/>
  <c r="AF18" i="15"/>
  <c r="AA18" i="15"/>
  <c r="Y18" i="15"/>
  <c r="W18" i="15"/>
  <c r="AL17" i="15"/>
  <c r="AK17" i="15" s="1"/>
  <c r="AJ17" i="15"/>
  <c r="AI17" i="15" s="1"/>
  <c r="AH17" i="15"/>
  <c r="AF17" i="15"/>
  <c r="AA17" i="15"/>
  <c r="Y17" i="15"/>
  <c r="W17" i="15"/>
  <c r="AL16" i="15"/>
  <c r="AK16" i="15" s="1"/>
  <c r="AJ16" i="15"/>
  <c r="AI16" i="15" s="1"/>
  <c r="AH16" i="15"/>
  <c r="AF16" i="15"/>
  <c r="AA16" i="15"/>
  <c r="Y16" i="15"/>
  <c r="W16" i="15"/>
  <c r="AL15" i="15"/>
  <c r="AK15" i="15" s="1"/>
  <c r="AJ15" i="15"/>
  <c r="AI15" i="15" s="1"/>
  <c r="AH15" i="15"/>
  <c r="AF15" i="15"/>
  <c r="AA15" i="15"/>
  <c r="Y15" i="15"/>
  <c r="W15" i="15"/>
  <c r="AL14" i="15"/>
  <c r="AK14" i="15" s="1"/>
  <c r="AJ14" i="15"/>
  <c r="AI14" i="15" s="1"/>
  <c r="AH14" i="15"/>
  <c r="AF14" i="15"/>
  <c r="AA14" i="15"/>
  <c r="Y14" i="15"/>
  <c r="W14" i="15"/>
  <c r="AL13" i="15"/>
  <c r="AK13" i="15" s="1"/>
  <c r="AJ13" i="15"/>
  <c r="AI13" i="15" s="1"/>
  <c r="AH13" i="15"/>
  <c r="AF13" i="15"/>
  <c r="AA13" i="15"/>
  <c r="Y13" i="15"/>
  <c r="AB13" i="15" s="1"/>
  <c r="W13" i="15"/>
  <c r="AL12" i="15"/>
  <c r="AK12" i="15" s="1"/>
  <c r="AJ12" i="15"/>
  <c r="AI12" i="15" s="1"/>
  <c r="AH12" i="15"/>
  <c r="AF12" i="15"/>
  <c r="AA12" i="15"/>
  <c r="Y12" i="15"/>
  <c r="W12" i="15"/>
  <c r="AL11" i="15"/>
  <c r="AK11" i="15"/>
  <c r="AJ11" i="15"/>
  <c r="AI11" i="15"/>
  <c r="AH11" i="15"/>
  <c r="AF11" i="15"/>
  <c r="AA11" i="15"/>
  <c r="Y11" i="15"/>
  <c r="AB11" i="15" s="1"/>
  <c r="W11" i="15"/>
  <c r="AL10" i="15"/>
  <c r="AK10" i="15" s="1"/>
  <c r="AJ10" i="15"/>
  <c r="AI10" i="15" s="1"/>
  <c r="AH10" i="15"/>
  <c r="AF10" i="15"/>
  <c r="AA10" i="15"/>
  <c r="Y10" i="15"/>
  <c r="W10" i="15"/>
  <c r="AL9" i="15"/>
  <c r="AK9" i="15"/>
  <c r="AJ9" i="15"/>
  <c r="AI9" i="15"/>
  <c r="AH9" i="15"/>
  <c r="AF9" i="15"/>
  <c r="AA9" i="15"/>
  <c r="Y9" i="15"/>
  <c r="AB9" i="15" s="1"/>
  <c r="W9" i="15"/>
  <c r="AL8" i="15"/>
  <c r="AK8" i="15" s="1"/>
  <c r="AJ8" i="15"/>
  <c r="AI8" i="15" s="1"/>
  <c r="AH8" i="15"/>
  <c r="AF8" i="15"/>
  <c r="AA8" i="15"/>
  <c r="Y8" i="15"/>
  <c r="W8" i="15"/>
  <c r="J1" i="15"/>
  <c r="F1" i="15"/>
  <c r="C313" i="14"/>
  <c r="C312" i="14"/>
  <c r="C311" i="14"/>
  <c r="C310" i="14"/>
  <c r="C309" i="14"/>
  <c r="C308" i="14"/>
  <c r="C307" i="14"/>
  <c r="C306" i="14"/>
  <c r="C305" i="14"/>
  <c r="C304" i="14"/>
  <c r="C303" i="14"/>
  <c r="C302" i="14"/>
  <c r="C301" i="14"/>
  <c r="C300" i="14"/>
  <c r="AL22" i="14"/>
  <c r="AK22" i="14" s="1"/>
  <c r="AJ22" i="14"/>
  <c r="AI22" i="14" s="1"/>
  <c r="AH22" i="14"/>
  <c r="AF22" i="14"/>
  <c r="AA22" i="14"/>
  <c r="Y22" i="14"/>
  <c r="W22" i="14"/>
  <c r="AL21" i="14"/>
  <c r="AK21" i="14" s="1"/>
  <c r="AJ21" i="14"/>
  <c r="AI21" i="14" s="1"/>
  <c r="AH21" i="14"/>
  <c r="AF21" i="14"/>
  <c r="AA21" i="14"/>
  <c r="Y21" i="14"/>
  <c r="W21" i="14"/>
  <c r="AL20" i="14"/>
  <c r="AK20" i="14" s="1"/>
  <c r="AJ20" i="14"/>
  <c r="AI20" i="14" s="1"/>
  <c r="AH20" i="14"/>
  <c r="AF20" i="14"/>
  <c r="AA20" i="14"/>
  <c r="Y20" i="14"/>
  <c r="W20" i="14"/>
  <c r="AL19" i="14"/>
  <c r="AK19" i="14" s="1"/>
  <c r="AJ19" i="14"/>
  <c r="AI19" i="14" s="1"/>
  <c r="AH19" i="14"/>
  <c r="AF19" i="14"/>
  <c r="AA19" i="14"/>
  <c r="Y19" i="14"/>
  <c r="W19" i="14"/>
  <c r="AL18" i="14"/>
  <c r="AK18" i="14" s="1"/>
  <c r="AJ18" i="14"/>
  <c r="AI18" i="14" s="1"/>
  <c r="AH18" i="14"/>
  <c r="AF18" i="14"/>
  <c r="AA18" i="14"/>
  <c r="Y18" i="14"/>
  <c r="W18" i="14"/>
  <c r="AL17" i="14"/>
  <c r="AK17" i="14" s="1"/>
  <c r="AJ17" i="14"/>
  <c r="AI17" i="14" s="1"/>
  <c r="AH17" i="14"/>
  <c r="AF17" i="14"/>
  <c r="AA17" i="14"/>
  <c r="Y17" i="14"/>
  <c r="W17" i="14"/>
  <c r="AL16" i="14"/>
  <c r="AK16" i="14" s="1"/>
  <c r="AJ16" i="14"/>
  <c r="AI16" i="14" s="1"/>
  <c r="AH16" i="14"/>
  <c r="AF16" i="14"/>
  <c r="AA16" i="14"/>
  <c r="Y16" i="14"/>
  <c r="W16" i="14"/>
  <c r="AL15" i="14"/>
  <c r="AK15" i="14" s="1"/>
  <c r="AJ15" i="14"/>
  <c r="AI15" i="14" s="1"/>
  <c r="AH15" i="14"/>
  <c r="AF15" i="14"/>
  <c r="AA15" i="14"/>
  <c r="Y15" i="14"/>
  <c r="W15" i="14"/>
  <c r="AL14" i="14"/>
  <c r="AK14" i="14" s="1"/>
  <c r="AJ14" i="14"/>
  <c r="AI14" i="14" s="1"/>
  <c r="AH14" i="14"/>
  <c r="AF14" i="14"/>
  <c r="AA14" i="14"/>
  <c r="Y14" i="14"/>
  <c r="W14" i="14"/>
  <c r="AL13" i="14"/>
  <c r="AK13" i="14" s="1"/>
  <c r="AJ13" i="14"/>
  <c r="AI13" i="14" s="1"/>
  <c r="AH13" i="14"/>
  <c r="AF13" i="14"/>
  <c r="AA13" i="14"/>
  <c r="Y13" i="14"/>
  <c r="W13" i="14"/>
  <c r="AL12" i="14"/>
  <c r="AK12" i="14" s="1"/>
  <c r="AJ12" i="14"/>
  <c r="AI12" i="14" s="1"/>
  <c r="AH12" i="14"/>
  <c r="AF12" i="14"/>
  <c r="AA12" i="14"/>
  <c r="Y12" i="14"/>
  <c r="W12" i="14"/>
  <c r="AL11" i="14"/>
  <c r="AK11" i="14" s="1"/>
  <c r="AJ11" i="14"/>
  <c r="AI11" i="14" s="1"/>
  <c r="AH11" i="14"/>
  <c r="AF11" i="14"/>
  <c r="AA11" i="14"/>
  <c r="Y11" i="14"/>
  <c r="AB11" i="14" s="1"/>
  <c r="W11" i="14"/>
  <c r="AL10" i="14"/>
  <c r="AK10" i="14" s="1"/>
  <c r="AJ10" i="14"/>
  <c r="AI10" i="14" s="1"/>
  <c r="AH10" i="14"/>
  <c r="AF10" i="14"/>
  <c r="AA10" i="14"/>
  <c r="Y10" i="14"/>
  <c r="W10" i="14"/>
  <c r="AL9" i="14"/>
  <c r="AK9" i="14" s="1"/>
  <c r="AJ9" i="14"/>
  <c r="AI9" i="14" s="1"/>
  <c r="AH9" i="14"/>
  <c r="AF9" i="14"/>
  <c r="AA9" i="14"/>
  <c r="Y9" i="14"/>
  <c r="AB9" i="14" s="1"/>
  <c r="W9" i="14"/>
  <c r="AL8" i="14"/>
  <c r="AK8" i="14" s="1"/>
  <c r="AJ8" i="14"/>
  <c r="AI8" i="14" s="1"/>
  <c r="AH8" i="14"/>
  <c r="AF8" i="14"/>
  <c r="AA8" i="14"/>
  <c r="Y8" i="14"/>
  <c r="W8" i="14"/>
  <c r="J1" i="14"/>
  <c r="F1" i="14"/>
  <c r="C310" i="13"/>
  <c r="C309" i="13"/>
  <c r="C308" i="13"/>
  <c r="C307" i="13"/>
  <c r="C306" i="13"/>
  <c r="C305" i="13"/>
  <c r="C304" i="13"/>
  <c r="C303" i="13"/>
  <c r="C302" i="13"/>
  <c r="C301" i="13"/>
  <c r="C300" i="13"/>
  <c r="AL19" i="13"/>
  <c r="AK19" i="13" s="1"/>
  <c r="AJ19" i="13"/>
  <c r="AI19" i="13" s="1"/>
  <c r="AH19" i="13"/>
  <c r="AF19" i="13"/>
  <c r="AA19" i="13"/>
  <c r="Y19" i="13"/>
  <c r="W19" i="13"/>
  <c r="AL18" i="13"/>
  <c r="AK18" i="13" s="1"/>
  <c r="AJ18" i="13"/>
  <c r="AI18" i="13" s="1"/>
  <c r="AH18" i="13"/>
  <c r="AF18" i="13"/>
  <c r="AA18" i="13"/>
  <c r="Y18" i="13"/>
  <c r="W18" i="13"/>
  <c r="AL17" i="13"/>
  <c r="AK17" i="13" s="1"/>
  <c r="AJ17" i="13"/>
  <c r="AI17" i="13" s="1"/>
  <c r="AH17" i="13"/>
  <c r="AF17" i="13"/>
  <c r="AA17" i="13"/>
  <c r="Y17" i="13"/>
  <c r="W17" i="13"/>
  <c r="AL16" i="13"/>
  <c r="AK16" i="13" s="1"/>
  <c r="AJ16" i="13"/>
  <c r="AI16" i="13" s="1"/>
  <c r="AH16" i="13"/>
  <c r="AF16" i="13"/>
  <c r="AA16" i="13"/>
  <c r="Y16" i="13"/>
  <c r="W16" i="13"/>
  <c r="AL15" i="13"/>
  <c r="AK15" i="13" s="1"/>
  <c r="AJ15" i="13"/>
  <c r="AI15" i="13" s="1"/>
  <c r="AH15" i="13"/>
  <c r="AF15" i="13"/>
  <c r="AA15" i="13"/>
  <c r="Y15" i="13"/>
  <c r="W15" i="13"/>
  <c r="AL14" i="13"/>
  <c r="AK14" i="13" s="1"/>
  <c r="AJ14" i="13"/>
  <c r="AI14" i="13" s="1"/>
  <c r="AH14" i="13"/>
  <c r="AF14" i="13"/>
  <c r="AA14" i="13"/>
  <c r="Y14" i="13"/>
  <c r="W14" i="13"/>
  <c r="AL13" i="13"/>
  <c r="AJ13" i="13"/>
  <c r="AH13" i="13"/>
  <c r="AG13" i="13" s="1"/>
  <c r="AF13" i="13"/>
  <c r="AA13" i="13"/>
  <c r="Y13" i="13"/>
  <c r="W13" i="13"/>
  <c r="AL12" i="13"/>
  <c r="AK12" i="13" s="1"/>
  <c r="AJ12" i="13"/>
  <c r="AI12" i="13" s="1"/>
  <c r="AH12" i="13"/>
  <c r="AF12" i="13"/>
  <c r="AA12" i="13"/>
  <c r="Y12" i="13"/>
  <c r="W12" i="13"/>
  <c r="AL11" i="13"/>
  <c r="AK11" i="13" s="1"/>
  <c r="AJ11" i="13"/>
  <c r="AI11" i="13" s="1"/>
  <c r="AH11" i="13"/>
  <c r="AF11" i="13"/>
  <c r="AA11" i="13"/>
  <c r="Y11" i="13"/>
  <c r="W11" i="13"/>
  <c r="AL10" i="13"/>
  <c r="AK10" i="13" s="1"/>
  <c r="AJ10" i="13"/>
  <c r="AI10" i="13" s="1"/>
  <c r="AH10" i="13"/>
  <c r="AF10" i="13"/>
  <c r="AA10" i="13"/>
  <c r="Y10" i="13"/>
  <c r="W10" i="13"/>
  <c r="AL9" i="13"/>
  <c r="AK9" i="13" s="1"/>
  <c r="AJ9" i="13"/>
  <c r="AI9" i="13" s="1"/>
  <c r="AH9" i="13"/>
  <c r="AF9" i="13"/>
  <c r="AA9" i="13"/>
  <c r="Y9" i="13"/>
  <c r="W9" i="13"/>
  <c r="AL8" i="13"/>
  <c r="AK8" i="13" s="1"/>
  <c r="AJ8" i="13"/>
  <c r="AI8" i="13" s="1"/>
  <c r="AH8" i="13"/>
  <c r="AF8" i="13"/>
  <c r="AA8" i="13"/>
  <c r="Y8" i="13"/>
  <c r="W8" i="13"/>
  <c r="J1" i="13"/>
  <c r="F1" i="13"/>
  <c r="C309" i="12"/>
  <c r="C308" i="12"/>
  <c r="C307" i="12"/>
  <c r="C306" i="12"/>
  <c r="C305" i="12"/>
  <c r="C304" i="12"/>
  <c r="C303" i="12"/>
  <c r="C302" i="12"/>
  <c r="C301" i="12"/>
  <c r="C300" i="12"/>
  <c r="AL18" i="12"/>
  <c r="AK18" i="12" s="1"/>
  <c r="AJ18" i="12"/>
  <c r="AI18" i="12" s="1"/>
  <c r="AH18" i="12"/>
  <c r="AF18" i="12"/>
  <c r="AA18" i="12"/>
  <c r="Y18" i="12"/>
  <c r="W18" i="12"/>
  <c r="AL17" i="12"/>
  <c r="AK17" i="12" s="1"/>
  <c r="AJ17" i="12"/>
  <c r="AI17" i="12" s="1"/>
  <c r="AH17" i="12"/>
  <c r="AF17" i="12"/>
  <c r="AA17" i="12"/>
  <c r="Y17" i="12"/>
  <c r="W17" i="12"/>
  <c r="AL16" i="12"/>
  <c r="AK16" i="12" s="1"/>
  <c r="AJ16" i="12"/>
  <c r="AI16" i="12" s="1"/>
  <c r="AH16" i="12"/>
  <c r="AF16" i="12"/>
  <c r="AA16" i="12"/>
  <c r="Y16" i="12"/>
  <c r="W16" i="12"/>
  <c r="AL15" i="12"/>
  <c r="AJ15" i="12"/>
  <c r="AH15" i="12"/>
  <c r="AG15" i="12" s="1"/>
  <c r="AF15" i="12"/>
  <c r="AA15" i="12"/>
  <c r="Y15" i="12"/>
  <c r="W15" i="12"/>
  <c r="AL14" i="12"/>
  <c r="AK14" i="12" s="1"/>
  <c r="AJ14" i="12"/>
  <c r="AI14" i="12" s="1"/>
  <c r="AH14" i="12"/>
  <c r="AF14" i="12"/>
  <c r="AA14" i="12"/>
  <c r="Y14" i="12"/>
  <c r="W14" i="12"/>
  <c r="AL13" i="12"/>
  <c r="AK13" i="12" s="1"/>
  <c r="AJ13" i="12"/>
  <c r="AI13" i="12" s="1"/>
  <c r="AH13" i="12"/>
  <c r="AF13" i="12"/>
  <c r="AA13" i="12"/>
  <c r="Y13" i="12"/>
  <c r="W13" i="12"/>
  <c r="AL12" i="12"/>
  <c r="AK12" i="12" s="1"/>
  <c r="AJ12" i="12"/>
  <c r="AI12" i="12" s="1"/>
  <c r="AH12" i="12"/>
  <c r="AF12" i="12"/>
  <c r="AA12" i="12"/>
  <c r="Y12" i="12"/>
  <c r="W12" i="12"/>
  <c r="AL11" i="12"/>
  <c r="AK11" i="12" s="1"/>
  <c r="AJ11" i="12"/>
  <c r="AI11" i="12" s="1"/>
  <c r="AH11" i="12"/>
  <c r="AF11" i="12"/>
  <c r="AA11" i="12"/>
  <c r="Y11" i="12"/>
  <c r="W11" i="12"/>
  <c r="AL10" i="12"/>
  <c r="AK10" i="12" s="1"/>
  <c r="AJ10" i="12"/>
  <c r="AI10" i="12" s="1"/>
  <c r="AH10" i="12"/>
  <c r="AF10" i="12"/>
  <c r="AA10" i="12"/>
  <c r="Y10" i="12"/>
  <c r="W10" i="12"/>
  <c r="AL9" i="12"/>
  <c r="AK9" i="12" s="1"/>
  <c r="AJ9" i="12"/>
  <c r="AI9" i="12" s="1"/>
  <c r="AH9" i="12"/>
  <c r="AF9" i="12"/>
  <c r="AA9" i="12"/>
  <c r="Y9" i="12"/>
  <c r="W9" i="12"/>
  <c r="AL8" i="12"/>
  <c r="AK8" i="12" s="1"/>
  <c r="AJ8" i="12"/>
  <c r="AI8" i="12" s="1"/>
  <c r="AH8" i="12"/>
  <c r="AF8" i="12"/>
  <c r="AA8" i="12"/>
  <c r="Y8" i="12"/>
  <c r="W8" i="12"/>
  <c r="J1" i="12"/>
  <c r="F1" i="12"/>
  <c r="C312" i="11"/>
  <c r="C311" i="11"/>
  <c r="C310" i="11"/>
  <c r="C309" i="11"/>
  <c r="C308" i="11"/>
  <c r="C307" i="11"/>
  <c r="C306" i="11"/>
  <c r="C305" i="11"/>
  <c r="C304" i="11"/>
  <c r="C303" i="11"/>
  <c r="C302" i="11"/>
  <c r="C301" i="11"/>
  <c r="C300" i="11"/>
  <c r="AL21" i="11"/>
  <c r="AK21" i="11" s="1"/>
  <c r="AJ21" i="11"/>
  <c r="AI21" i="11" s="1"/>
  <c r="AH21" i="11"/>
  <c r="AF21" i="11"/>
  <c r="AA21" i="11"/>
  <c r="Y21" i="11"/>
  <c r="W21" i="11"/>
  <c r="AL20" i="11"/>
  <c r="AK20" i="11" s="1"/>
  <c r="AJ20" i="11"/>
  <c r="AI20" i="11" s="1"/>
  <c r="AH20" i="11"/>
  <c r="AF20" i="11"/>
  <c r="AA20" i="11"/>
  <c r="Y20" i="11"/>
  <c r="W20" i="11"/>
  <c r="AL19" i="11"/>
  <c r="AK19" i="11" s="1"/>
  <c r="AJ19" i="11"/>
  <c r="AI19" i="11" s="1"/>
  <c r="AH19" i="11"/>
  <c r="AF19" i="11"/>
  <c r="AA19" i="11"/>
  <c r="Y19" i="11"/>
  <c r="W19" i="11"/>
  <c r="AL18" i="11"/>
  <c r="AK18" i="11" s="1"/>
  <c r="AJ18" i="11"/>
  <c r="AI18" i="11" s="1"/>
  <c r="AH18" i="11"/>
  <c r="AF18" i="11"/>
  <c r="AA18" i="11"/>
  <c r="Y18" i="11"/>
  <c r="W18" i="11"/>
  <c r="AL17" i="11"/>
  <c r="AK17" i="11" s="1"/>
  <c r="AJ17" i="11"/>
  <c r="AI17" i="11" s="1"/>
  <c r="AH17" i="11"/>
  <c r="AF17" i="11"/>
  <c r="AA17" i="11"/>
  <c r="Y17" i="11"/>
  <c r="W17" i="11"/>
  <c r="AL16" i="11"/>
  <c r="AK16" i="11" s="1"/>
  <c r="AJ16" i="11"/>
  <c r="AI16" i="11" s="1"/>
  <c r="AH16" i="11"/>
  <c r="AF16" i="11"/>
  <c r="AA16" i="11"/>
  <c r="Y16" i="11"/>
  <c r="W16" i="11"/>
  <c r="AL15" i="11"/>
  <c r="AK15" i="11" s="1"/>
  <c r="AJ15" i="11"/>
  <c r="AI15" i="11" s="1"/>
  <c r="AH15" i="11"/>
  <c r="AF15" i="11"/>
  <c r="AA15" i="11"/>
  <c r="Y15" i="11"/>
  <c r="W15" i="11"/>
  <c r="AL14" i="11"/>
  <c r="AK14" i="11" s="1"/>
  <c r="AJ14" i="11"/>
  <c r="AI14" i="11" s="1"/>
  <c r="AH14" i="11"/>
  <c r="AF14" i="11"/>
  <c r="AA14" i="11"/>
  <c r="Y14" i="11"/>
  <c r="W14" i="11"/>
  <c r="AL13" i="11"/>
  <c r="AK13" i="11" s="1"/>
  <c r="AJ13" i="11"/>
  <c r="AI13" i="11" s="1"/>
  <c r="AH13" i="11"/>
  <c r="AF13" i="11"/>
  <c r="AA13" i="11"/>
  <c r="Y13" i="11"/>
  <c r="W13" i="11"/>
  <c r="AL12" i="11"/>
  <c r="AK12" i="11" s="1"/>
  <c r="AJ12" i="11"/>
  <c r="AI12" i="11" s="1"/>
  <c r="AH12" i="11"/>
  <c r="AF12" i="11"/>
  <c r="AA12" i="11"/>
  <c r="Y12" i="11"/>
  <c r="W12" i="11"/>
  <c r="AL11" i="11"/>
  <c r="AK11" i="11" s="1"/>
  <c r="AJ11" i="11"/>
  <c r="AI11" i="11" s="1"/>
  <c r="AH11" i="11"/>
  <c r="AF11" i="11"/>
  <c r="AA11" i="11"/>
  <c r="Y11" i="11"/>
  <c r="AB11" i="11" s="1"/>
  <c r="W11" i="11"/>
  <c r="AL10" i="11"/>
  <c r="AK10" i="11" s="1"/>
  <c r="AJ10" i="11"/>
  <c r="AI10" i="11" s="1"/>
  <c r="AH10" i="11"/>
  <c r="AF10" i="11"/>
  <c r="AA10" i="11"/>
  <c r="Y10" i="11"/>
  <c r="W10" i="11"/>
  <c r="AL9" i="11"/>
  <c r="AK9" i="11" s="1"/>
  <c r="AJ9" i="11"/>
  <c r="AI9" i="11" s="1"/>
  <c r="AH9" i="11"/>
  <c r="AF9" i="11"/>
  <c r="AA9" i="11"/>
  <c r="Y9" i="11"/>
  <c r="AB9" i="11" s="1"/>
  <c r="W9" i="11"/>
  <c r="AL8" i="11"/>
  <c r="AJ8" i="11"/>
  <c r="AH8" i="11"/>
  <c r="AG8" i="11" s="1"/>
  <c r="AF8" i="11"/>
  <c r="AA8" i="11"/>
  <c r="Y8" i="11"/>
  <c r="W8" i="11"/>
  <c r="J1" i="11"/>
  <c r="F1" i="11"/>
  <c r="X40" i="28"/>
  <c r="X42" i="28"/>
  <c r="X43" i="28"/>
  <c r="X39" i="28"/>
  <c r="AD25" i="23" l="1"/>
  <c r="AD29" i="23"/>
  <c r="AD28" i="23"/>
  <c r="AD27" i="23"/>
  <c r="AD26" i="23"/>
  <c r="AB29" i="37"/>
  <c r="AB28" i="37"/>
  <c r="AB22" i="36"/>
  <c r="AB26" i="36"/>
  <c r="AB8" i="36"/>
  <c r="AB13" i="36"/>
  <c r="AB17" i="36"/>
  <c r="AB21" i="36"/>
  <c r="AB24" i="36"/>
  <c r="AB25" i="36"/>
  <c r="AB28" i="36"/>
  <c r="AB29" i="36"/>
  <c r="AB21" i="35"/>
  <c r="AB23" i="35"/>
  <c r="AB25" i="35"/>
  <c r="AB27" i="35"/>
  <c r="AB29" i="35"/>
  <c r="AB8" i="35"/>
  <c r="AB10" i="35"/>
  <c r="AB12" i="35"/>
  <c r="AB14" i="35"/>
  <c r="AB16" i="35"/>
  <c r="AB18" i="35"/>
  <c r="AB20" i="35"/>
  <c r="AB22" i="35"/>
  <c r="AB24" i="35"/>
  <c r="AB26" i="35"/>
  <c r="AB28" i="35"/>
  <c r="AB9" i="35"/>
  <c r="AB11" i="35"/>
  <c r="AB13" i="35"/>
  <c r="AB15" i="35"/>
  <c r="AB17" i="35"/>
  <c r="AB19" i="35"/>
  <c r="B301" i="37"/>
  <c r="B303" i="37"/>
  <c r="B305" i="37"/>
  <c r="B307" i="37"/>
  <c r="B309" i="37"/>
  <c r="B311" i="37"/>
  <c r="B313" i="37"/>
  <c r="B315" i="37"/>
  <c r="B317" i="37"/>
  <c r="B319" i="37"/>
  <c r="B320" i="37"/>
  <c r="B321" i="37"/>
  <c r="B322" i="37"/>
  <c r="B323" i="37"/>
  <c r="B300" i="37"/>
  <c r="B302" i="37"/>
  <c r="B304" i="37"/>
  <c r="B306" i="37"/>
  <c r="B308" i="37"/>
  <c r="B310" i="37"/>
  <c r="B312" i="37"/>
  <c r="B314" i="37"/>
  <c r="B316" i="37"/>
  <c r="B318" i="36"/>
  <c r="B316" i="36"/>
  <c r="B314" i="36"/>
  <c r="B312" i="36"/>
  <c r="B310" i="36"/>
  <c r="B308" i="36"/>
  <c r="B306" i="36"/>
  <c r="B304" i="36"/>
  <c r="B302" i="36"/>
  <c r="B300" i="36"/>
  <c r="B321" i="36"/>
  <c r="B320" i="36"/>
  <c r="B319" i="36"/>
  <c r="B317" i="36"/>
  <c r="B315" i="36"/>
  <c r="B313" i="36"/>
  <c r="B311" i="36"/>
  <c r="B309" i="36"/>
  <c r="B307" i="36"/>
  <c r="B305" i="36"/>
  <c r="B303" i="36"/>
  <c r="B301" i="36"/>
  <c r="AB10" i="36"/>
  <c r="AB12" i="36"/>
  <c r="AB14" i="36"/>
  <c r="AB16" i="36"/>
  <c r="AB18" i="36"/>
  <c r="AB20" i="36"/>
  <c r="B301" i="35"/>
  <c r="B303" i="35"/>
  <c r="B305" i="35"/>
  <c r="B307" i="35"/>
  <c r="B309" i="35"/>
  <c r="B311" i="35"/>
  <c r="B313" i="35"/>
  <c r="B315" i="35"/>
  <c r="B317" i="35"/>
  <c r="B319" i="35"/>
  <c r="B320" i="35"/>
  <c r="B321" i="35"/>
  <c r="B300" i="35"/>
  <c r="B302" i="35"/>
  <c r="B304" i="35"/>
  <c r="B306" i="35"/>
  <c r="B308" i="35"/>
  <c r="B310" i="35"/>
  <c r="B312" i="35"/>
  <c r="B314" i="35"/>
  <c r="B316" i="35"/>
  <c r="AB8" i="34"/>
  <c r="AB12" i="34"/>
  <c r="AB14" i="34"/>
  <c r="AB10" i="34"/>
  <c r="AB16" i="34"/>
  <c r="B301" i="34"/>
  <c r="B303" i="34"/>
  <c r="B305" i="34"/>
  <c r="B307" i="34"/>
  <c r="B309" i="34"/>
  <c r="B300" i="34"/>
  <c r="B302" i="34"/>
  <c r="B304" i="34"/>
  <c r="B306" i="34"/>
  <c r="B308" i="34"/>
  <c r="B310" i="34"/>
  <c r="M7" i="33"/>
  <c r="K7" i="33"/>
  <c r="U7" i="33" s="1"/>
  <c r="M9" i="33"/>
  <c r="K9" i="33"/>
  <c r="M11" i="33"/>
  <c r="K11" i="33"/>
  <c r="U11" i="33" s="1"/>
  <c r="M8" i="33"/>
  <c r="K8" i="33"/>
  <c r="M10" i="33"/>
  <c r="K10" i="33"/>
  <c r="U10" i="33" s="1"/>
  <c r="M12" i="33"/>
  <c r="K12" i="33"/>
  <c r="X11" i="28"/>
  <c r="X13" i="28"/>
  <c r="X15" i="28"/>
  <c r="X17" i="28"/>
  <c r="X19" i="28"/>
  <c r="X21" i="28"/>
  <c r="X23" i="28"/>
  <c r="Y24" i="28"/>
  <c r="X25" i="28" s="1"/>
  <c r="AA24" i="28"/>
  <c r="Y26" i="28"/>
  <c r="X27" i="28" s="1"/>
  <c r="AA26" i="28"/>
  <c r="Y28" i="28"/>
  <c r="X29" i="28" s="1"/>
  <c r="AA28" i="28"/>
  <c r="Y30" i="28"/>
  <c r="X31" i="28" s="1"/>
  <c r="AA30" i="28"/>
  <c r="X12" i="28"/>
  <c r="X14" i="28"/>
  <c r="X16" i="28"/>
  <c r="X18" i="28"/>
  <c r="X20" i="28"/>
  <c r="X22" i="28"/>
  <c r="X36" i="28"/>
  <c r="AD31" i="23"/>
  <c r="AD30" i="23"/>
  <c r="AD25" i="32"/>
  <c r="AB8" i="32"/>
  <c r="AB10" i="32"/>
  <c r="AB12" i="32"/>
  <c r="AB14" i="32"/>
  <c r="AB16" i="32"/>
  <c r="AB18" i="32"/>
  <c r="AB20" i="32"/>
  <c r="AB22" i="32"/>
  <c r="AB24" i="32"/>
  <c r="B301" i="32"/>
  <c r="B303" i="32"/>
  <c r="B305" i="32"/>
  <c r="B307" i="32"/>
  <c r="B309" i="32"/>
  <c r="B311" i="32"/>
  <c r="B313" i="32"/>
  <c r="B315" i="32"/>
  <c r="B317" i="32"/>
  <c r="B300" i="32"/>
  <c r="B302" i="32"/>
  <c r="B304" i="32"/>
  <c r="B306" i="32"/>
  <c r="B308" i="32"/>
  <c r="B310" i="32"/>
  <c r="B312" i="32"/>
  <c r="B314" i="32"/>
  <c r="B316" i="32"/>
  <c r="AB8" i="31"/>
  <c r="AB10" i="31"/>
  <c r="AB12" i="31"/>
  <c r="AB14" i="31"/>
  <c r="AB16" i="31"/>
  <c r="AB18" i="31"/>
  <c r="AB9" i="31"/>
  <c r="AB11" i="31"/>
  <c r="AB13" i="31"/>
  <c r="AB15" i="31"/>
  <c r="AB17" i="31"/>
  <c r="B301" i="31"/>
  <c r="B303" i="31"/>
  <c r="B305" i="31"/>
  <c r="B307" i="31"/>
  <c r="B309" i="31"/>
  <c r="B300" i="31"/>
  <c r="B302" i="31"/>
  <c r="B304" i="31"/>
  <c r="B306" i="31"/>
  <c r="B308" i="31"/>
  <c r="B310" i="31"/>
  <c r="B318" i="30"/>
  <c r="AB9" i="30"/>
  <c r="AB11" i="30"/>
  <c r="AB13" i="30"/>
  <c r="AB15" i="30"/>
  <c r="AB17" i="30"/>
  <c r="AB19" i="30"/>
  <c r="AB21" i="30"/>
  <c r="AB23" i="30"/>
  <c r="B301" i="30"/>
  <c r="B303" i="30"/>
  <c r="B305" i="30"/>
  <c r="B307" i="30"/>
  <c r="B309" i="30"/>
  <c r="B311" i="30"/>
  <c r="B313" i="30"/>
  <c r="B315" i="30"/>
  <c r="B317" i="30"/>
  <c r="B319" i="30"/>
  <c r="B320" i="30"/>
  <c r="B321" i="30"/>
  <c r="B322" i="30"/>
  <c r="B323" i="30"/>
  <c r="B300" i="30"/>
  <c r="B302" i="30"/>
  <c r="B304" i="30"/>
  <c r="B306" i="30"/>
  <c r="B308" i="30"/>
  <c r="B310" i="30"/>
  <c r="B312" i="30"/>
  <c r="B314" i="30"/>
  <c r="B316" i="30"/>
  <c r="L8" i="29"/>
  <c r="J8" i="29"/>
  <c r="L15" i="29"/>
  <c r="J15" i="29"/>
  <c r="T15" i="29" s="1"/>
  <c r="L22" i="29"/>
  <c r="J22" i="29"/>
  <c r="L10" i="29"/>
  <c r="J10" i="29"/>
  <c r="L17" i="29"/>
  <c r="J17" i="29"/>
  <c r="L24" i="29"/>
  <c r="J24" i="29"/>
  <c r="T24" i="29" s="1"/>
  <c r="L28" i="29"/>
  <c r="J28" i="29"/>
  <c r="T28" i="29" s="1"/>
  <c r="L29" i="29"/>
  <c r="J29" i="29"/>
  <c r="T29" i="29" s="1"/>
  <c r="L30" i="29"/>
  <c r="J30" i="29"/>
  <c r="T30" i="29" s="1"/>
  <c r="L31" i="29"/>
  <c r="J31" i="29"/>
  <c r="T31" i="29" s="1"/>
  <c r="L32" i="29"/>
  <c r="J32" i="29"/>
  <c r="T42" i="29"/>
  <c r="T43" i="29"/>
  <c r="T44" i="29"/>
  <c r="T45" i="29"/>
  <c r="J7" i="29"/>
  <c r="T7" i="29" s="1"/>
  <c r="L7" i="29"/>
  <c r="J9" i="29"/>
  <c r="T9" i="29" s="1"/>
  <c r="L9" i="29"/>
  <c r="J11" i="29"/>
  <c r="T11" i="29" s="1"/>
  <c r="L11" i="29"/>
  <c r="J14" i="29"/>
  <c r="T14" i="29" s="1"/>
  <c r="L14" i="29"/>
  <c r="J16" i="29"/>
  <c r="T16" i="29" s="1"/>
  <c r="L16" i="29"/>
  <c r="J18" i="29"/>
  <c r="T18" i="29" s="1"/>
  <c r="L18" i="29"/>
  <c r="J21" i="29"/>
  <c r="T21" i="29" s="1"/>
  <c r="L21" i="29"/>
  <c r="J23" i="29"/>
  <c r="T23" i="29" s="1"/>
  <c r="L23" i="29"/>
  <c r="L25" i="29"/>
  <c r="J25" i="29"/>
  <c r="T25" i="29" s="1"/>
  <c r="T35" i="29"/>
  <c r="T36" i="29"/>
  <c r="T37" i="29"/>
  <c r="T38" i="29"/>
  <c r="T49" i="29"/>
  <c r="T51" i="29"/>
  <c r="T56" i="29"/>
  <c r="T57" i="29"/>
  <c r="T58" i="29"/>
  <c r="T59" i="29"/>
  <c r="T52" i="29"/>
  <c r="T53" i="29"/>
  <c r="L10" i="27"/>
  <c r="J10" i="27"/>
  <c r="L14" i="27"/>
  <c r="J14" i="27"/>
  <c r="T14" i="27" s="1"/>
  <c r="L18" i="27"/>
  <c r="J18" i="27"/>
  <c r="L8" i="27"/>
  <c r="J8" i="27"/>
  <c r="T8" i="27" s="1"/>
  <c r="L16" i="27"/>
  <c r="J16" i="27"/>
  <c r="J7" i="27"/>
  <c r="T7" i="27" s="1"/>
  <c r="L7" i="27"/>
  <c r="J9" i="27"/>
  <c r="T9" i="27" s="1"/>
  <c r="L9" i="27"/>
  <c r="J11" i="27"/>
  <c r="L11" i="27"/>
  <c r="J15" i="27"/>
  <c r="T15" i="27" s="1"/>
  <c r="L15" i="27"/>
  <c r="J17" i="27"/>
  <c r="T17" i="27" s="1"/>
  <c r="L17" i="27"/>
  <c r="I18" i="27"/>
  <c r="I11" i="27"/>
  <c r="M9" i="21"/>
  <c r="K9" i="21"/>
  <c r="M7" i="21"/>
  <c r="K7" i="21"/>
  <c r="U7" i="21" s="1"/>
  <c r="M11" i="21"/>
  <c r="K11" i="21"/>
  <c r="K8" i="21"/>
  <c r="U8" i="21" s="1"/>
  <c r="M8" i="21"/>
  <c r="K10" i="21"/>
  <c r="U10" i="21" s="1"/>
  <c r="M10" i="21"/>
  <c r="K12" i="21"/>
  <c r="U12" i="21" s="1"/>
  <c r="M12" i="21"/>
  <c r="B314" i="28"/>
  <c r="B312" i="28"/>
  <c r="B310" i="28"/>
  <c r="B31" i="28"/>
  <c r="B29" i="28"/>
  <c r="B27" i="28"/>
  <c r="B25" i="28"/>
  <c r="B313" i="28"/>
  <c r="B311" i="28"/>
  <c r="B308" i="28"/>
  <c r="B32" i="28"/>
  <c r="B30" i="28"/>
  <c r="B28" i="28"/>
  <c r="B26" i="28"/>
  <c r="X35" i="28"/>
  <c r="X37" i="28"/>
  <c r="AB11" i="26"/>
  <c r="AB13" i="26"/>
  <c r="AB15" i="26"/>
  <c r="AB17" i="26"/>
  <c r="AB19" i="26"/>
  <c r="AB9" i="26"/>
  <c r="B301" i="26"/>
  <c r="B303" i="26"/>
  <c r="B305" i="26"/>
  <c r="B307" i="26"/>
  <c r="B309" i="26"/>
  <c r="B311" i="26"/>
  <c r="B300" i="26"/>
  <c r="B302" i="26"/>
  <c r="B304" i="26"/>
  <c r="B306" i="26"/>
  <c r="B308" i="26"/>
  <c r="B310" i="26"/>
  <c r="AB8" i="25"/>
  <c r="AB10" i="25"/>
  <c r="AB12" i="25"/>
  <c r="AB14" i="25"/>
  <c r="AB16" i="25"/>
  <c r="AB18" i="25"/>
  <c r="B310" i="25"/>
  <c r="B309" i="25"/>
  <c r="B308" i="25"/>
  <c r="B307" i="25"/>
  <c r="B306" i="25"/>
  <c r="B305" i="25"/>
  <c r="B304" i="25"/>
  <c r="B303" i="25"/>
  <c r="B302" i="25"/>
  <c r="B301" i="25"/>
  <c r="B300" i="25"/>
  <c r="AB13" i="25"/>
  <c r="AB15" i="25"/>
  <c r="AB17" i="25"/>
  <c r="AB9" i="24"/>
  <c r="AB11" i="24"/>
  <c r="AB8" i="24"/>
  <c r="AB10" i="24"/>
  <c r="AB12" i="24"/>
  <c r="AB14" i="24"/>
  <c r="AB16" i="24"/>
  <c r="B309" i="24"/>
  <c r="B308" i="24"/>
  <c r="B307" i="24"/>
  <c r="B306" i="24"/>
  <c r="B305" i="24"/>
  <c r="B304" i="24"/>
  <c r="B303" i="24"/>
  <c r="B302" i="24"/>
  <c r="B301" i="24"/>
  <c r="B300" i="24"/>
  <c r="AB13" i="24"/>
  <c r="AB15" i="24"/>
  <c r="AB17" i="24"/>
  <c r="B323" i="23"/>
  <c r="B322" i="23"/>
  <c r="B321" i="23"/>
  <c r="B320" i="23"/>
  <c r="B319" i="23"/>
  <c r="B318" i="23"/>
  <c r="B317" i="23"/>
  <c r="B316" i="23"/>
  <c r="B315" i="23"/>
  <c r="B314" i="23"/>
  <c r="B313" i="23"/>
  <c r="B312" i="23"/>
  <c r="B311" i="23"/>
  <c r="B310" i="23"/>
  <c r="B309" i="23"/>
  <c r="B308" i="23"/>
  <c r="B307" i="23"/>
  <c r="B306" i="23"/>
  <c r="B305" i="23"/>
  <c r="B304" i="23"/>
  <c r="B303" i="23"/>
  <c r="B302" i="23"/>
  <c r="B301" i="23"/>
  <c r="B300" i="23"/>
  <c r="AB13" i="23"/>
  <c r="AB15" i="23"/>
  <c r="AB17" i="23"/>
  <c r="AB19" i="23"/>
  <c r="AB21" i="23"/>
  <c r="AB9" i="12"/>
  <c r="AB11" i="12"/>
  <c r="AB12" i="12"/>
  <c r="AB14" i="12"/>
  <c r="AB16" i="15"/>
  <c r="AB18" i="15"/>
  <c r="AB19" i="15"/>
  <c r="AB9" i="16"/>
  <c r="AB11" i="16"/>
  <c r="AB9" i="17"/>
  <c r="AB11" i="17"/>
  <c r="AB9" i="19"/>
  <c r="AB11" i="19"/>
  <c r="AB13" i="19"/>
  <c r="AB15" i="19"/>
  <c r="AB17" i="19"/>
  <c r="AB19" i="19"/>
  <c r="AB8" i="19"/>
  <c r="AB10" i="19"/>
  <c r="AB12" i="19"/>
  <c r="AB14" i="19"/>
  <c r="AB16" i="19"/>
  <c r="AB18" i="19"/>
  <c r="AB9" i="18"/>
  <c r="AB11" i="18"/>
  <c r="AB8" i="17"/>
  <c r="AB10" i="17"/>
  <c r="AB12" i="17"/>
  <c r="AB14" i="17"/>
  <c r="AB16" i="17"/>
  <c r="AB18" i="17"/>
  <c r="AB8" i="16"/>
  <c r="AB10" i="16"/>
  <c r="AB12" i="16"/>
  <c r="AB14" i="16"/>
  <c r="AB16" i="16"/>
  <c r="AB18" i="16"/>
  <c r="AB12" i="15"/>
  <c r="AB14" i="15"/>
  <c r="AB15" i="15"/>
  <c r="AB17" i="15"/>
  <c r="AB20" i="15"/>
  <c r="AB8" i="14"/>
  <c r="AB10" i="14"/>
  <c r="AB12" i="14"/>
  <c r="AB14" i="14"/>
  <c r="AB16" i="14"/>
  <c r="AB18" i="14"/>
  <c r="AB20" i="14"/>
  <c r="AB22" i="14"/>
  <c r="AB9" i="13"/>
  <c r="AB11" i="13"/>
  <c r="AB17" i="12"/>
  <c r="AB8" i="11"/>
  <c r="AB10" i="11"/>
  <c r="AB12" i="11"/>
  <c r="AB14" i="11"/>
  <c r="AB16" i="11"/>
  <c r="AB18" i="11"/>
  <c r="AB20" i="11"/>
  <c r="AB8" i="13"/>
  <c r="AB10" i="13"/>
  <c r="AB12" i="13"/>
  <c r="AB14" i="13"/>
  <c r="AB16" i="13"/>
  <c r="AB18" i="13"/>
  <c r="AB8" i="12"/>
  <c r="AB10" i="12"/>
  <c r="AB13" i="12"/>
  <c r="AB15" i="12"/>
  <c r="AB16" i="12"/>
  <c r="AB18" i="12"/>
  <c r="AB8" i="20"/>
  <c r="AB10" i="20"/>
  <c r="AB12" i="20"/>
  <c r="AB14" i="20"/>
  <c r="AB16" i="20"/>
  <c r="B308" i="20"/>
  <c r="B307" i="20"/>
  <c r="B306" i="20"/>
  <c r="B305" i="20"/>
  <c r="B304" i="20"/>
  <c r="B303" i="20"/>
  <c r="B302" i="20"/>
  <c r="B301" i="20"/>
  <c r="B300" i="20"/>
  <c r="AB13" i="20"/>
  <c r="AB15" i="20"/>
  <c r="B300" i="19"/>
  <c r="B301" i="19"/>
  <c r="B302" i="19"/>
  <c r="B303" i="19"/>
  <c r="B304" i="19"/>
  <c r="B305" i="19"/>
  <c r="B306" i="19"/>
  <c r="B307" i="19"/>
  <c r="B308" i="19"/>
  <c r="B309" i="19"/>
  <c r="B310" i="19"/>
  <c r="B311" i="19"/>
  <c r="B309" i="18"/>
  <c r="B308" i="18"/>
  <c r="B307" i="18"/>
  <c r="B306" i="18"/>
  <c r="B305" i="18"/>
  <c r="B304" i="18"/>
  <c r="B303" i="18"/>
  <c r="B302" i="18"/>
  <c r="B301" i="18"/>
  <c r="B300" i="18"/>
  <c r="AB13" i="18"/>
  <c r="AB15" i="18"/>
  <c r="AB17" i="18"/>
  <c r="B311" i="17"/>
  <c r="B310" i="17"/>
  <c r="B309" i="17"/>
  <c r="B308" i="17"/>
  <c r="B307" i="17"/>
  <c r="B306" i="17"/>
  <c r="B305" i="17"/>
  <c r="B304" i="17"/>
  <c r="B303" i="17"/>
  <c r="B302" i="17"/>
  <c r="B301" i="17"/>
  <c r="B300" i="17"/>
  <c r="AB13" i="17"/>
  <c r="AB15" i="17"/>
  <c r="AB17" i="17"/>
  <c r="AB19" i="17"/>
  <c r="B311" i="16"/>
  <c r="B310" i="16"/>
  <c r="B309" i="16"/>
  <c r="B308" i="16"/>
  <c r="B307" i="16"/>
  <c r="B306" i="16"/>
  <c r="B305" i="16"/>
  <c r="B304" i="16"/>
  <c r="B303" i="16"/>
  <c r="B302" i="16"/>
  <c r="B301" i="16"/>
  <c r="B300" i="16"/>
  <c r="AB13" i="16"/>
  <c r="AB15" i="16"/>
  <c r="AB17" i="16"/>
  <c r="AB19" i="16"/>
  <c r="B313" i="15"/>
  <c r="B312" i="15"/>
  <c r="B311" i="15"/>
  <c r="AB8" i="15"/>
  <c r="AB10" i="15"/>
  <c r="B300" i="15"/>
  <c r="B301" i="15"/>
  <c r="B302" i="15"/>
  <c r="B303" i="15"/>
  <c r="B304" i="15"/>
  <c r="B305" i="15"/>
  <c r="B306" i="15"/>
  <c r="B307" i="15"/>
  <c r="B308" i="15"/>
  <c r="B309" i="15"/>
  <c r="B310" i="15"/>
  <c r="B314" i="14"/>
  <c r="B313" i="14"/>
  <c r="B312" i="14"/>
  <c r="B311" i="14"/>
  <c r="B310" i="14"/>
  <c r="B309" i="14"/>
  <c r="B308" i="14"/>
  <c r="B307" i="14"/>
  <c r="B306" i="14"/>
  <c r="B305" i="14"/>
  <c r="B304" i="14"/>
  <c r="B303" i="14"/>
  <c r="B302" i="14"/>
  <c r="B301" i="14"/>
  <c r="B300" i="14"/>
  <c r="AB13" i="14"/>
  <c r="AB15" i="14"/>
  <c r="AB17" i="14"/>
  <c r="AB19" i="14"/>
  <c r="AB21" i="14"/>
  <c r="B311" i="13"/>
  <c r="B310" i="13"/>
  <c r="B309" i="13"/>
  <c r="B308" i="13"/>
  <c r="B307" i="13"/>
  <c r="B306" i="13"/>
  <c r="B305" i="13"/>
  <c r="B304" i="13"/>
  <c r="B303" i="13"/>
  <c r="B302" i="13"/>
  <c r="B301" i="13"/>
  <c r="B300" i="13"/>
  <c r="AB13" i="13"/>
  <c r="AB15" i="13"/>
  <c r="AB17" i="13"/>
  <c r="AB19" i="13"/>
  <c r="B310" i="12"/>
  <c r="B309" i="12"/>
  <c r="B308" i="12"/>
  <c r="B307" i="12"/>
  <c r="B306" i="12"/>
  <c r="B305" i="12"/>
  <c r="B304" i="12"/>
  <c r="B303" i="12"/>
  <c r="B302" i="12"/>
  <c r="B301" i="12"/>
  <c r="B300" i="12"/>
  <c r="B313" i="11"/>
  <c r="B312" i="11"/>
  <c r="B311" i="11"/>
  <c r="B310" i="11"/>
  <c r="B309" i="11"/>
  <c r="B308" i="11"/>
  <c r="B307" i="11"/>
  <c r="B306" i="11"/>
  <c r="B305" i="11"/>
  <c r="B304" i="11"/>
  <c r="B303" i="11"/>
  <c r="B302" i="11"/>
  <c r="B301" i="11"/>
  <c r="B300" i="11"/>
  <c r="AB13" i="11"/>
  <c r="AB15" i="11"/>
  <c r="AB17" i="11"/>
  <c r="AB19" i="11"/>
  <c r="AB21" i="11"/>
  <c r="AC9" i="4" l="1"/>
  <c r="AC11" i="4"/>
  <c r="AC13" i="4"/>
  <c r="AC15" i="4"/>
  <c r="AC17" i="4"/>
  <c r="AC19" i="4"/>
  <c r="AC21" i="4"/>
  <c r="AC23" i="4"/>
  <c r="AC25" i="4"/>
  <c r="AC27" i="4"/>
  <c r="AC29" i="4"/>
  <c r="AC31" i="4"/>
  <c r="AC33" i="4"/>
  <c r="AC35" i="4"/>
  <c r="AC37" i="4"/>
  <c r="AC39" i="4"/>
  <c r="AC41" i="4"/>
  <c r="AC43" i="4"/>
  <c r="AC45" i="4"/>
  <c r="AC47" i="4"/>
  <c r="AC49" i="4"/>
  <c r="AC51" i="4"/>
  <c r="AC53" i="4"/>
  <c r="AC55" i="4"/>
  <c r="AC57" i="4"/>
  <c r="AC59" i="4"/>
  <c r="AC61" i="4"/>
  <c r="AC63" i="4"/>
  <c r="AC8" i="4"/>
  <c r="AC10" i="4"/>
  <c r="AC12" i="4"/>
  <c r="AC14" i="4"/>
  <c r="AC16" i="4"/>
  <c r="AC18" i="4"/>
  <c r="AC20" i="4"/>
  <c r="AC22" i="4"/>
  <c r="AC24" i="4"/>
  <c r="AC26" i="4"/>
  <c r="AC28" i="4"/>
  <c r="AC30" i="4"/>
  <c r="AC32" i="4"/>
  <c r="AC34" i="4"/>
  <c r="AC36" i="4"/>
  <c r="AC38" i="4"/>
  <c r="AC40" i="4"/>
  <c r="AC42" i="4"/>
  <c r="AC44" i="4"/>
  <c r="AC46" i="4"/>
  <c r="AC48" i="4"/>
  <c r="AC50" i="4"/>
  <c r="AC52" i="4"/>
  <c r="AC54" i="4"/>
  <c r="AC56" i="4"/>
  <c r="AC58" i="4"/>
  <c r="AC60" i="4"/>
  <c r="AC62" i="4"/>
  <c r="AC64"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8" i="4"/>
  <c r="AA9" i="4"/>
  <c r="AA11" i="4"/>
  <c r="AA13" i="4"/>
  <c r="AA15" i="4"/>
  <c r="AA17" i="4"/>
  <c r="AA19" i="4"/>
  <c r="AA21" i="4"/>
  <c r="AA23" i="4"/>
  <c r="AA25" i="4"/>
  <c r="AA27" i="4"/>
  <c r="AA29" i="4"/>
  <c r="AA31" i="4"/>
  <c r="AA33" i="4"/>
  <c r="AA35" i="4"/>
  <c r="AA37" i="4"/>
  <c r="AA39" i="4"/>
  <c r="AA41" i="4"/>
  <c r="AA43" i="4"/>
  <c r="AA45" i="4"/>
  <c r="AA47" i="4"/>
  <c r="AA49" i="4"/>
  <c r="AA51" i="4"/>
  <c r="AA53" i="4"/>
  <c r="AA55" i="4"/>
  <c r="AA57" i="4"/>
  <c r="AA59" i="4"/>
  <c r="AA61" i="4"/>
  <c r="AA63" i="4"/>
  <c r="AA8" i="4"/>
  <c r="AA10" i="4"/>
  <c r="AA12" i="4"/>
  <c r="AA14" i="4"/>
  <c r="AA16" i="4"/>
  <c r="AA18" i="4"/>
  <c r="AA20" i="4"/>
  <c r="AA22" i="4"/>
  <c r="AA24" i="4"/>
  <c r="AA26" i="4"/>
  <c r="AA28" i="4"/>
  <c r="AA30" i="4"/>
  <c r="AA32" i="4"/>
  <c r="AA34" i="4"/>
  <c r="AA36" i="4"/>
  <c r="AA38" i="4"/>
  <c r="AA40" i="4"/>
  <c r="AA42" i="4"/>
  <c r="AA44" i="4"/>
  <c r="AA46" i="4"/>
  <c r="AA48" i="4"/>
  <c r="AA50" i="4"/>
  <c r="AA52" i="4"/>
  <c r="AA54" i="4"/>
  <c r="AA56" i="4"/>
  <c r="AA58" i="4"/>
  <c r="AA60" i="4"/>
  <c r="AA62" i="4"/>
  <c r="AA64" i="4"/>
  <c r="Z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8" i="4"/>
  <c r="X10" i="4"/>
  <c r="X12" i="4"/>
  <c r="X14" i="4"/>
  <c r="X16" i="4"/>
  <c r="X18" i="4"/>
  <c r="X20" i="4"/>
  <c r="X22" i="4"/>
  <c r="X24" i="4"/>
  <c r="X26" i="4"/>
  <c r="X28" i="4"/>
  <c r="X30" i="4"/>
  <c r="X32" i="4"/>
  <c r="X34" i="4"/>
  <c r="X36" i="4"/>
  <c r="X38" i="4"/>
  <c r="X40" i="4"/>
  <c r="X42" i="4"/>
  <c r="X44" i="4"/>
  <c r="X46" i="4"/>
  <c r="X48" i="4"/>
  <c r="X50" i="4"/>
  <c r="X52" i="4"/>
  <c r="X54" i="4"/>
  <c r="X56" i="4"/>
  <c r="X58" i="4"/>
  <c r="X60" i="4"/>
  <c r="X62" i="4"/>
  <c r="X64" i="4"/>
  <c r="X9" i="4"/>
  <c r="X11" i="4"/>
  <c r="X13" i="4"/>
  <c r="X15" i="4"/>
  <c r="X17" i="4"/>
  <c r="X19" i="4"/>
  <c r="X21" i="4"/>
  <c r="X23" i="4"/>
  <c r="X25" i="4"/>
  <c r="X27" i="4"/>
  <c r="X29" i="4"/>
  <c r="X31" i="4"/>
  <c r="X33" i="4"/>
  <c r="X35" i="4"/>
  <c r="X37" i="4"/>
  <c r="X39" i="4"/>
  <c r="X41" i="4"/>
  <c r="X43" i="4"/>
  <c r="X45" i="4"/>
  <c r="X47" i="4"/>
  <c r="X49" i="4"/>
  <c r="X51" i="4"/>
  <c r="X53" i="4"/>
  <c r="X55" i="4"/>
  <c r="X57" i="4"/>
  <c r="X59" i="4"/>
  <c r="X61" i="4"/>
  <c r="X63" i="4"/>
  <c r="X8" i="4"/>
  <c r="W8"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U10" i="4"/>
  <c r="U12" i="4"/>
  <c r="U14" i="4"/>
  <c r="U16" i="4"/>
  <c r="U18" i="4"/>
  <c r="U20" i="4"/>
  <c r="U22" i="4"/>
  <c r="U24" i="4"/>
  <c r="U26" i="4"/>
  <c r="U28" i="4"/>
  <c r="U30" i="4"/>
  <c r="U32" i="4"/>
  <c r="U34" i="4"/>
  <c r="U36" i="4"/>
  <c r="U38" i="4"/>
  <c r="U40" i="4"/>
  <c r="U42" i="4"/>
  <c r="U44" i="4"/>
  <c r="U46" i="4"/>
  <c r="U48" i="4"/>
  <c r="U50" i="4"/>
  <c r="U52" i="4"/>
  <c r="U54" i="4"/>
  <c r="U56" i="4"/>
  <c r="U58" i="4"/>
  <c r="U60" i="4"/>
  <c r="U62" i="4"/>
  <c r="U64" i="4"/>
  <c r="U9" i="4"/>
  <c r="U11" i="4"/>
  <c r="U13" i="4"/>
  <c r="U15" i="4"/>
  <c r="U17" i="4"/>
  <c r="U19" i="4"/>
  <c r="U21" i="4"/>
  <c r="U23" i="4"/>
  <c r="U25" i="4"/>
  <c r="U27" i="4"/>
  <c r="U29" i="4"/>
  <c r="U31" i="4"/>
  <c r="U33" i="4"/>
  <c r="U35" i="4"/>
  <c r="U37" i="4"/>
  <c r="U39" i="4"/>
  <c r="U41" i="4"/>
  <c r="U43" i="4"/>
  <c r="U45" i="4"/>
  <c r="U47" i="4"/>
  <c r="U49" i="4"/>
  <c r="U51" i="4"/>
  <c r="U53" i="4"/>
  <c r="U55" i="4"/>
  <c r="U57" i="4"/>
  <c r="U59" i="4"/>
  <c r="U61" i="4"/>
  <c r="U63" i="4"/>
  <c r="U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8" i="4"/>
  <c r="Q10" i="4"/>
  <c r="Q12" i="4"/>
  <c r="Q14" i="4"/>
  <c r="Q16" i="4"/>
  <c r="Q18" i="4"/>
  <c r="Q20" i="4"/>
  <c r="Q22" i="4"/>
  <c r="Q24" i="4"/>
  <c r="Q26" i="4"/>
  <c r="Q28" i="4"/>
  <c r="Q30" i="4"/>
  <c r="Q32" i="4"/>
  <c r="Q34" i="4"/>
  <c r="Q36" i="4"/>
  <c r="Q38" i="4"/>
  <c r="Q40" i="4"/>
  <c r="Q42" i="4"/>
  <c r="Q44" i="4"/>
  <c r="Q46" i="4"/>
  <c r="Q48" i="4"/>
  <c r="Q50" i="4"/>
  <c r="Q52" i="4"/>
  <c r="Q54" i="4"/>
  <c r="Q56" i="4"/>
  <c r="Q58" i="4"/>
  <c r="Q60" i="4"/>
  <c r="Q62" i="4"/>
  <c r="Q64" i="4"/>
  <c r="Q9" i="10"/>
  <c r="Q10" i="10"/>
  <c r="Q11" i="10"/>
  <c r="Q12" i="10"/>
  <c r="Q13" i="10"/>
  <c r="Q14" i="10"/>
  <c r="Q15" i="10"/>
  <c r="Q16" i="10"/>
  <c r="Q17" i="10"/>
  <c r="Q18" i="10"/>
  <c r="Q19" i="10"/>
  <c r="Q20" i="10"/>
  <c r="Q21" i="10"/>
  <c r="Q22" i="10"/>
  <c r="Q23" i="10"/>
  <c r="Q24" i="10"/>
  <c r="Q25" i="10"/>
  <c r="Q27" i="10"/>
  <c r="Q28" i="10"/>
  <c r="Q30" i="10"/>
  <c r="Q32" i="10"/>
  <c r="Q34" i="10"/>
  <c r="Q36" i="10"/>
  <c r="Q38" i="10"/>
  <c r="Q9" i="4"/>
  <c r="Q11" i="4"/>
  <c r="Q13" i="4"/>
  <c r="Q15" i="4"/>
  <c r="Q17" i="4"/>
  <c r="Q19" i="4"/>
  <c r="Q21" i="4"/>
  <c r="Q23" i="4"/>
  <c r="Q25" i="4"/>
  <c r="Q27" i="4"/>
  <c r="Q29" i="4"/>
  <c r="Q31" i="4"/>
  <c r="Q33" i="4"/>
  <c r="Q35" i="4"/>
  <c r="Q37" i="4"/>
  <c r="Q39" i="4"/>
  <c r="Q41" i="4"/>
  <c r="Q43" i="4"/>
  <c r="Q45" i="4"/>
  <c r="Q47" i="4"/>
  <c r="Q49" i="4"/>
  <c r="Q51" i="4"/>
  <c r="Q53" i="4"/>
  <c r="Q55" i="4"/>
  <c r="Q57" i="4"/>
  <c r="Q59" i="4"/>
  <c r="Q61" i="4"/>
  <c r="Q63" i="4"/>
  <c r="Q8" i="4"/>
  <c r="Q7" i="10"/>
  <c r="Q8" i="10"/>
  <c r="Q26" i="10"/>
  <c r="Q29" i="10"/>
  <c r="Q31" i="10"/>
  <c r="Q33" i="10"/>
  <c r="Q35" i="10"/>
  <c r="Q37" i="10"/>
  <c r="Q39" i="10"/>
  <c r="AE9" i="5"/>
  <c r="AE11" i="5"/>
  <c r="AE13" i="5"/>
  <c r="AE15" i="5"/>
  <c r="AE17" i="5"/>
  <c r="AE19" i="5"/>
  <c r="AE21" i="5"/>
  <c r="AE23" i="5"/>
  <c r="AE25" i="5"/>
  <c r="AE27" i="5"/>
  <c r="AE29" i="5"/>
  <c r="AE31" i="5"/>
  <c r="AE33" i="5"/>
  <c r="AE35" i="5"/>
  <c r="AE37" i="5"/>
  <c r="AE39" i="5"/>
  <c r="AE41" i="5"/>
  <c r="AE43" i="5"/>
  <c r="AE45" i="5"/>
  <c r="AE47" i="5"/>
  <c r="AE49" i="5"/>
  <c r="AE51" i="5"/>
  <c r="AE53" i="5"/>
  <c r="AE55" i="5"/>
  <c r="AE57" i="5"/>
  <c r="AE59" i="5"/>
  <c r="AE61" i="5"/>
  <c r="AE7" i="5"/>
  <c r="AE8" i="5"/>
  <c r="AE10" i="5"/>
  <c r="AE12" i="5"/>
  <c r="AE14" i="5"/>
  <c r="AE16" i="5"/>
  <c r="AE18" i="5"/>
  <c r="AE20" i="5"/>
  <c r="AE22" i="5"/>
  <c r="AE24" i="5"/>
  <c r="AE26" i="5"/>
  <c r="AE28" i="5"/>
  <c r="AE30" i="5"/>
  <c r="AE32" i="5"/>
  <c r="AE34" i="5"/>
  <c r="AE36" i="5"/>
  <c r="AE38" i="5"/>
  <c r="AE40" i="5"/>
  <c r="AE42" i="5"/>
  <c r="AE44" i="5"/>
  <c r="AE46" i="5"/>
  <c r="AE48" i="5"/>
  <c r="AE50" i="5"/>
  <c r="AE52" i="5"/>
  <c r="AE54" i="5"/>
  <c r="AE56" i="5"/>
  <c r="AE58" i="5"/>
  <c r="AE60" i="5"/>
  <c r="AE62"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7" i="5"/>
  <c r="AC9" i="5"/>
  <c r="AC11" i="5"/>
  <c r="AC13" i="5"/>
  <c r="AC15" i="5"/>
  <c r="AC17" i="5"/>
  <c r="AC19" i="5"/>
  <c r="AC21" i="5"/>
  <c r="AC23" i="5"/>
  <c r="AC25" i="5"/>
  <c r="AC27" i="5"/>
  <c r="AC29" i="5"/>
  <c r="AC31" i="5"/>
  <c r="AC33" i="5"/>
  <c r="AC35" i="5"/>
  <c r="AC37" i="5"/>
  <c r="AC39" i="5"/>
  <c r="AC41" i="5"/>
  <c r="AC43" i="5"/>
  <c r="AC45" i="5"/>
  <c r="AC47" i="5"/>
  <c r="AC49" i="5"/>
  <c r="AC51" i="5"/>
  <c r="AC53" i="5"/>
  <c r="AC55" i="5"/>
  <c r="AC57" i="5"/>
  <c r="AC59" i="5"/>
  <c r="AC61" i="5"/>
  <c r="AC7" i="5"/>
  <c r="AC8" i="5"/>
  <c r="AC10" i="5"/>
  <c r="AC12" i="5"/>
  <c r="AC14" i="5"/>
  <c r="AC16" i="5"/>
  <c r="AC18" i="5"/>
  <c r="AC20" i="5"/>
  <c r="AC22" i="5"/>
  <c r="AC24" i="5"/>
  <c r="AC26" i="5"/>
  <c r="AC28" i="5"/>
  <c r="AC30" i="5"/>
  <c r="AC32" i="5"/>
  <c r="AC34" i="5"/>
  <c r="AC36" i="5"/>
  <c r="AC38" i="5"/>
  <c r="AC40" i="5"/>
  <c r="AC42" i="5"/>
  <c r="AC44" i="5"/>
  <c r="AC46" i="5"/>
  <c r="AC48" i="5"/>
  <c r="AC50" i="5"/>
  <c r="AC52" i="5"/>
  <c r="AC54" i="5"/>
  <c r="AC56" i="5"/>
  <c r="AC58" i="5"/>
  <c r="AC60" i="5"/>
  <c r="AC62"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7" i="5"/>
  <c r="AA9" i="5"/>
  <c r="AA11" i="5"/>
  <c r="AA13" i="5"/>
  <c r="AA15" i="5"/>
  <c r="AA17" i="5"/>
  <c r="AA19" i="5"/>
  <c r="AA21" i="5"/>
  <c r="AA23" i="5"/>
  <c r="AA25" i="5"/>
  <c r="AA27" i="5"/>
  <c r="AA29" i="5"/>
  <c r="AA31" i="5"/>
  <c r="AA33" i="5"/>
  <c r="AA35" i="5"/>
  <c r="AA37" i="5"/>
  <c r="AA39" i="5"/>
  <c r="AA41" i="5"/>
  <c r="AA43" i="5"/>
  <c r="AA45" i="5"/>
  <c r="AA47" i="5"/>
  <c r="AA49" i="5"/>
  <c r="AA51" i="5"/>
  <c r="AA53" i="5"/>
  <c r="AA55" i="5"/>
  <c r="AA57" i="5"/>
  <c r="AA59" i="5"/>
  <c r="AA61" i="5"/>
  <c r="AA7" i="5"/>
  <c r="AA8" i="5"/>
  <c r="AA10" i="5"/>
  <c r="AA12" i="5"/>
  <c r="AA14" i="5"/>
  <c r="AA16" i="5"/>
  <c r="AA18" i="5"/>
  <c r="AA20" i="5"/>
  <c r="AA22" i="5"/>
  <c r="AA24" i="5"/>
  <c r="AA26" i="5"/>
  <c r="AA28" i="5"/>
  <c r="AA30" i="5"/>
  <c r="AA32" i="5"/>
  <c r="AA34" i="5"/>
  <c r="AA36" i="5"/>
  <c r="AA38" i="5"/>
  <c r="AA40" i="5"/>
  <c r="AA42" i="5"/>
  <c r="AA44" i="5"/>
  <c r="AA46" i="5"/>
  <c r="AA48" i="5"/>
  <c r="AA50" i="5"/>
  <c r="AA52" i="5"/>
  <c r="AA54" i="5"/>
  <c r="AA56" i="5"/>
  <c r="AA58" i="5"/>
  <c r="AA60" i="5"/>
  <c r="AA62" i="5"/>
  <c r="Z8" i="5"/>
  <c r="Z9" i="5"/>
  <c r="Z10" i="5"/>
  <c r="Z11" i="5"/>
  <c r="Z12" i="5"/>
  <c r="Z13" i="5"/>
  <c r="Z14" i="5"/>
  <c r="Z15" i="5"/>
  <c r="Z16" i="5"/>
  <c r="Z17" i="5"/>
  <c r="Z18" i="5"/>
  <c r="Z19" i="5"/>
  <c r="Z20" i="5"/>
  <c r="Z21" i="5"/>
  <c r="Z22" i="5"/>
  <c r="Z23" i="5"/>
  <c r="Z24" i="5"/>
  <c r="Z25" i="5"/>
  <c r="Z26" i="5"/>
  <c r="Z27" i="5"/>
  <c r="Z28" i="5"/>
  <c r="Z29" i="5"/>
  <c r="Z30" i="5"/>
  <c r="Z31" i="5"/>
  <c r="Z32" i="5"/>
  <c r="Z33" i="5"/>
  <c r="Z34" i="5"/>
  <c r="Z35" i="5"/>
  <c r="Z36" i="5"/>
  <c r="Z37" i="5"/>
  <c r="Z38" i="5"/>
  <c r="Z39" i="5"/>
  <c r="Z40" i="5"/>
  <c r="Z41" i="5"/>
  <c r="Z42" i="5"/>
  <c r="Z43" i="5"/>
  <c r="Z44" i="5"/>
  <c r="Z45" i="5"/>
  <c r="Z46" i="5"/>
  <c r="Z47" i="5"/>
  <c r="Z48" i="5"/>
  <c r="Z49" i="5"/>
  <c r="Z50" i="5"/>
  <c r="Z51" i="5"/>
  <c r="Z52" i="5"/>
  <c r="Z53" i="5"/>
  <c r="Z54" i="5"/>
  <c r="Z55" i="5"/>
  <c r="Z56" i="5"/>
  <c r="Z57" i="5"/>
  <c r="Z58" i="5"/>
  <c r="Z59" i="5"/>
  <c r="Z60" i="5"/>
  <c r="Z61" i="5"/>
  <c r="Z62" i="5"/>
  <c r="Z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7" i="5"/>
  <c r="AG9" i="5"/>
  <c r="AG11" i="5"/>
  <c r="AG13" i="5"/>
  <c r="AG15" i="5"/>
  <c r="AG17" i="5"/>
  <c r="AG19" i="5"/>
  <c r="AG21" i="5"/>
  <c r="AG23" i="5"/>
  <c r="AG25" i="5"/>
  <c r="AG27" i="5"/>
  <c r="AG29" i="5"/>
  <c r="AG31" i="5"/>
  <c r="AG33" i="5"/>
  <c r="AG35" i="5"/>
  <c r="AG37" i="5"/>
  <c r="AG39" i="5"/>
  <c r="AG41" i="5"/>
  <c r="AG43" i="5"/>
  <c r="AG45" i="5"/>
  <c r="AG47" i="5"/>
  <c r="AG49" i="5"/>
  <c r="AG51" i="5"/>
  <c r="AG53" i="5"/>
  <c r="AG55" i="5"/>
  <c r="AG57" i="5"/>
  <c r="AG59" i="5"/>
  <c r="AG61" i="5"/>
  <c r="AG7" i="5"/>
  <c r="AG8" i="5"/>
  <c r="AG10" i="5"/>
  <c r="AG12" i="5"/>
  <c r="AG14" i="5"/>
  <c r="AG16" i="5"/>
  <c r="AG18" i="5"/>
  <c r="AG20" i="5"/>
  <c r="AG22" i="5"/>
  <c r="AG24" i="5"/>
  <c r="AG26" i="5"/>
  <c r="AG28" i="5"/>
  <c r="AG30" i="5"/>
  <c r="AG32" i="5"/>
  <c r="AG34" i="5"/>
  <c r="AG36" i="5"/>
  <c r="AG38" i="5"/>
  <c r="AG40" i="5"/>
  <c r="AG42" i="5"/>
  <c r="AG44" i="5"/>
  <c r="AG46" i="5"/>
  <c r="AG48" i="5"/>
  <c r="AG50" i="5"/>
  <c r="AG52" i="5"/>
  <c r="AG54" i="5"/>
  <c r="AG56" i="5"/>
  <c r="AG58" i="5"/>
  <c r="AG60" i="5"/>
  <c r="AG62" i="5"/>
  <c r="AF8" i="5"/>
  <c r="AF9" i="5"/>
  <c r="AF10" i="5"/>
  <c r="AF11" i="5"/>
  <c r="AF12"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7" i="5"/>
  <c r="U12" i="33"/>
  <c r="U8" i="33"/>
  <c r="U9" i="33"/>
  <c r="L9" i="33" s="1"/>
  <c r="S9" i="33" s="1"/>
  <c r="X32" i="28"/>
  <c r="X28" i="28"/>
  <c r="X30" i="28"/>
  <c r="X26" i="28"/>
  <c r="B304" i="28" s="1"/>
  <c r="T32" i="29"/>
  <c r="K32" i="29" s="1"/>
  <c r="R32" i="29" s="1"/>
  <c r="T39" i="29"/>
  <c r="R39" i="29" s="1"/>
  <c r="T60" i="29"/>
  <c r="R60" i="29" s="1"/>
  <c r="T46" i="29"/>
  <c r="R46" i="29" s="1"/>
  <c r="R58" i="29"/>
  <c r="T50" i="29"/>
  <c r="R50" i="29" s="1"/>
  <c r="R38" i="29"/>
  <c r="R37" i="29"/>
  <c r="R36" i="29"/>
  <c r="R35" i="29"/>
  <c r="R45" i="29"/>
  <c r="R44" i="29"/>
  <c r="R43" i="29"/>
  <c r="R42" i="29"/>
  <c r="K30" i="29"/>
  <c r="R30" i="29" s="1"/>
  <c r="K28" i="29"/>
  <c r="R28" i="29" s="1"/>
  <c r="T17" i="29"/>
  <c r="K17" i="29" s="1"/>
  <c r="R17" i="29" s="1"/>
  <c r="T10" i="29"/>
  <c r="T22" i="29"/>
  <c r="K22" i="29" s="1"/>
  <c r="R22" i="29" s="1"/>
  <c r="T8" i="29"/>
  <c r="K8" i="29" s="1"/>
  <c r="R8" i="29" s="1"/>
  <c r="T16" i="27"/>
  <c r="T18" i="27"/>
  <c r="K18" i="27" s="1"/>
  <c r="R18" i="27" s="1"/>
  <c r="T10" i="27"/>
  <c r="K10" i="27" s="1"/>
  <c r="R10" i="27" s="1"/>
  <c r="U11" i="21"/>
  <c r="U9" i="21"/>
  <c r="L9" i="21" s="1"/>
  <c r="S9" i="21" s="1"/>
  <c r="B307" i="28"/>
  <c r="B306" i="28"/>
  <c r="B305" i="28"/>
  <c r="L10" i="33" l="1"/>
  <c r="S10" i="33" s="1"/>
  <c r="L7" i="33"/>
  <c r="S7" i="33" s="1"/>
  <c r="L11" i="33"/>
  <c r="S11" i="33" s="1"/>
  <c r="L8" i="33"/>
  <c r="S8" i="33" s="1"/>
  <c r="L12" i="33"/>
  <c r="S12" i="33" s="1"/>
  <c r="B35" i="28"/>
  <c r="B43" i="28" s="1"/>
  <c r="B300" i="28" s="1"/>
  <c r="B37" i="28"/>
  <c r="B40" i="28" s="1"/>
  <c r="B303" i="28" s="1"/>
  <c r="B34" i="28"/>
  <c r="B39" i="28" s="1"/>
  <c r="B302" i="28" s="1"/>
  <c r="B36" i="28"/>
  <c r="B42" i="28" s="1"/>
  <c r="B301" i="28" s="1"/>
  <c r="K29" i="29"/>
  <c r="R29" i="29" s="1"/>
  <c r="K31" i="29"/>
  <c r="R31" i="29" s="1"/>
  <c r="R56" i="29"/>
  <c r="R57" i="29"/>
  <c r="S60" i="29" s="1"/>
  <c r="R59" i="29"/>
  <c r="M29" i="29"/>
  <c r="S29" i="29" s="1"/>
  <c r="M31" i="29"/>
  <c r="S31" i="29" s="1"/>
  <c r="S43" i="29"/>
  <c r="S45" i="29"/>
  <c r="S36" i="29"/>
  <c r="S38" i="29"/>
  <c r="S56" i="29"/>
  <c r="M32" i="29"/>
  <c r="S32" i="29" s="1"/>
  <c r="S42" i="29"/>
  <c r="S46" i="29"/>
  <c r="S44" i="29"/>
  <c r="S35" i="29"/>
  <c r="S39" i="29"/>
  <c r="S37" i="29"/>
  <c r="S59" i="29"/>
  <c r="K10" i="29"/>
  <c r="R10" i="29" s="1"/>
  <c r="K24" i="29"/>
  <c r="R24" i="29" s="1"/>
  <c r="R49" i="29"/>
  <c r="R51" i="29"/>
  <c r="R53" i="29"/>
  <c r="K25" i="29"/>
  <c r="R25" i="29" s="1"/>
  <c r="K7" i="29"/>
  <c r="R7" i="29" s="1"/>
  <c r="K11" i="29"/>
  <c r="R11" i="29" s="1"/>
  <c r="K16" i="29"/>
  <c r="R16" i="29" s="1"/>
  <c r="K21" i="29"/>
  <c r="R21" i="29" s="1"/>
  <c r="R52" i="29"/>
  <c r="K15" i="29"/>
  <c r="R15" i="29" s="1"/>
  <c r="K9" i="29"/>
  <c r="R9" i="29" s="1"/>
  <c r="K14" i="29"/>
  <c r="R14" i="29" s="1"/>
  <c r="K18" i="29"/>
  <c r="R18" i="29" s="1"/>
  <c r="K23" i="29"/>
  <c r="R23" i="29" s="1"/>
  <c r="K16" i="27"/>
  <c r="R16" i="27" s="1"/>
  <c r="K14" i="27"/>
  <c r="R14" i="27" s="1"/>
  <c r="K8" i="27"/>
  <c r="R8" i="27" s="1"/>
  <c r="K7" i="27"/>
  <c r="R7" i="27" s="1"/>
  <c r="K9" i="27"/>
  <c r="R9" i="27" s="1"/>
  <c r="K15" i="27"/>
  <c r="R15" i="27" s="1"/>
  <c r="K11" i="27"/>
  <c r="R11" i="27" s="1"/>
  <c r="K17" i="27"/>
  <c r="R17" i="27" s="1"/>
  <c r="L8" i="21"/>
  <c r="S8" i="21" s="1"/>
  <c r="L12" i="21"/>
  <c r="S12" i="21" s="1"/>
  <c r="L7" i="21"/>
  <c r="S7" i="21" s="1"/>
  <c r="N9" i="21" s="1"/>
  <c r="T9" i="21" s="1"/>
  <c r="L11" i="21"/>
  <c r="S11" i="21" s="1"/>
  <c r="L10" i="21"/>
  <c r="S10" i="21" s="1"/>
  <c r="V9" i="4" l="1"/>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8" i="4"/>
  <c r="N10" i="33"/>
  <c r="T10" i="33" s="1"/>
  <c r="N12" i="33"/>
  <c r="T12" i="33" s="1"/>
  <c r="N11" i="33"/>
  <c r="T11" i="33" s="1"/>
  <c r="N9" i="33"/>
  <c r="T9" i="33" s="1"/>
  <c r="N8" i="33"/>
  <c r="T8" i="33" s="1"/>
  <c r="N7" i="33"/>
  <c r="T7" i="33" s="1"/>
  <c r="M8" i="29"/>
  <c r="S8" i="29" s="1"/>
  <c r="S57" i="29"/>
  <c r="M30" i="29"/>
  <c r="S30" i="29" s="1"/>
  <c r="M28" i="29"/>
  <c r="S28" i="29" s="1"/>
  <c r="S58" i="29"/>
  <c r="S50" i="29"/>
  <c r="M23" i="29"/>
  <c r="S23" i="29" s="1"/>
  <c r="M14" i="29"/>
  <c r="S14" i="29" s="1"/>
  <c r="M15" i="29"/>
  <c r="S15" i="29" s="1"/>
  <c r="M21" i="29"/>
  <c r="S21" i="29" s="1"/>
  <c r="S11" i="29"/>
  <c r="M11" i="29"/>
  <c r="S25" i="29"/>
  <c r="M25" i="29"/>
  <c r="S51" i="29"/>
  <c r="M24" i="29"/>
  <c r="S24" i="29" s="1"/>
  <c r="M22" i="29"/>
  <c r="S22" i="29" s="1"/>
  <c r="M18" i="29"/>
  <c r="S18" i="29" s="1"/>
  <c r="M9" i="29"/>
  <c r="S9" i="29" s="1"/>
  <c r="S52" i="29"/>
  <c r="M16" i="29"/>
  <c r="S16" i="29" s="1"/>
  <c r="M7" i="29"/>
  <c r="S7" i="29" s="1"/>
  <c r="S53" i="29"/>
  <c r="S49" i="29"/>
  <c r="M10" i="29"/>
  <c r="S10" i="29" s="1"/>
  <c r="I10" i="29" s="1"/>
  <c r="M17" i="29"/>
  <c r="S17" i="29" s="1"/>
  <c r="M17" i="27"/>
  <c r="S17" i="27" s="1"/>
  <c r="M15" i="27"/>
  <c r="S15" i="27" s="1"/>
  <c r="M7" i="27"/>
  <c r="S7" i="27" s="1"/>
  <c r="M14" i="27"/>
  <c r="S14" i="27" s="1"/>
  <c r="M10" i="27"/>
  <c r="S10" i="27" s="1"/>
  <c r="M18" i="27"/>
  <c r="S18" i="27" s="1"/>
  <c r="M11" i="27"/>
  <c r="S11" i="27" s="1"/>
  <c r="M9" i="27"/>
  <c r="S9" i="27" s="1"/>
  <c r="M8" i="27"/>
  <c r="S8" i="27" s="1"/>
  <c r="I8" i="27" s="1"/>
  <c r="M16" i="27"/>
  <c r="S16" i="27" s="1"/>
  <c r="N11" i="21"/>
  <c r="T11" i="21" s="1"/>
  <c r="N12" i="21"/>
  <c r="T12" i="21" s="1"/>
  <c r="N10" i="21"/>
  <c r="T10" i="21" s="1"/>
  <c r="N7" i="21"/>
  <c r="T7" i="21" s="1"/>
  <c r="N8" i="21"/>
  <c r="T8" i="21" s="1"/>
  <c r="J8" i="21" s="1"/>
  <c r="I16" i="27" l="1"/>
  <c r="J8" i="33"/>
  <c r="J11" i="33"/>
  <c r="J7" i="33"/>
  <c r="J10" i="33"/>
  <c r="J12" i="33"/>
  <c r="J9" i="33"/>
  <c r="I16" i="29"/>
  <c r="I7" i="29"/>
  <c r="I8" i="29"/>
  <c r="I18" i="29"/>
  <c r="I15" i="29"/>
  <c r="I9" i="29"/>
  <c r="I14" i="29"/>
  <c r="I11" i="29"/>
  <c r="I17" i="29"/>
  <c r="I9" i="27"/>
  <c r="I14" i="27"/>
  <c r="I15" i="27"/>
  <c r="I7" i="27"/>
  <c r="I17" i="27"/>
  <c r="I10" i="27"/>
  <c r="J7" i="21"/>
  <c r="J9" i="21"/>
  <c r="J12" i="21"/>
  <c r="J10" i="21"/>
  <c r="J11" i="21"/>
  <c r="B154" i="29" l="1"/>
  <c r="C153" i="29" s="1"/>
  <c r="E151" i="29" s="1"/>
  <c r="H147" i="29" s="1"/>
  <c r="B116" i="29"/>
  <c r="C129" i="29" s="1"/>
  <c r="E128" i="29" s="1"/>
  <c r="H129" i="29" s="1"/>
  <c r="C184" i="29"/>
  <c r="E188" i="29" s="1"/>
  <c r="H187" i="29" s="1"/>
  <c r="C182" i="29"/>
  <c r="E183" i="29" s="1"/>
  <c r="H181" i="29" s="1"/>
  <c r="C180" i="29"/>
  <c r="E179" i="29" s="1"/>
  <c r="H184" i="29" s="1"/>
  <c r="C178" i="29"/>
  <c r="E186" i="29" s="1"/>
  <c r="H190" i="29" s="1"/>
  <c r="B152" i="29"/>
  <c r="C167" i="29" s="1"/>
  <c r="E166" i="29" s="1"/>
  <c r="H167" i="29" s="1"/>
  <c r="B150" i="29"/>
  <c r="C165" i="29" s="1"/>
  <c r="E171" i="29" s="1"/>
  <c r="H173" i="29" s="1"/>
  <c r="B148" i="29"/>
  <c r="C149" i="29" s="1"/>
  <c r="E157" i="29" s="1"/>
  <c r="H159" i="29" s="1"/>
  <c r="B146" i="29"/>
  <c r="C163" i="29" s="1"/>
  <c r="E169" i="29" s="1"/>
  <c r="H170" i="29" s="1"/>
  <c r="B144" i="29"/>
  <c r="C145" i="29" s="1"/>
  <c r="E155" i="29" s="1"/>
  <c r="H156" i="29" s="1"/>
  <c r="B142" i="29"/>
  <c r="C161" i="29" s="1"/>
  <c r="E162" i="29" s="1"/>
  <c r="H164" i="29" s="1"/>
  <c r="B140" i="29"/>
  <c r="C141" i="29" s="1"/>
  <c r="E143" i="29" s="1"/>
  <c r="H152" i="29" s="1"/>
  <c r="B114" i="29"/>
  <c r="C115" i="29" s="1"/>
  <c r="E119" i="29" s="1"/>
  <c r="H118" i="29" s="1"/>
  <c r="B112" i="29"/>
  <c r="C127" i="29" s="1"/>
  <c r="E133" i="29" s="1"/>
  <c r="H132" i="29" s="1"/>
  <c r="B110" i="29"/>
  <c r="C111" i="29" s="1"/>
  <c r="E113" i="29" s="1"/>
  <c r="H109" i="29" s="1"/>
  <c r="B108" i="29"/>
  <c r="C107" i="29" s="1"/>
  <c r="E105" i="29" s="1"/>
  <c r="H114" i="29" s="1"/>
  <c r="B106" i="29"/>
  <c r="C125" i="29" s="1"/>
  <c r="E131" i="29" s="1"/>
  <c r="H135" i="29" s="1"/>
  <c r="B104" i="29"/>
  <c r="C123" i="29" s="1"/>
  <c r="E124" i="29" s="1"/>
  <c r="H126" i="29" s="1"/>
  <c r="B102" i="29"/>
  <c r="C103" i="29" s="1"/>
  <c r="E117" i="29" s="1"/>
  <c r="H121" i="29" s="1"/>
  <c r="B125" i="27"/>
  <c r="C124" i="27" s="1"/>
  <c r="F125" i="27" s="1"/>
  <c r="B123" i="27"/>
  <c r="C129" i="27" s="1"/>
  <c r="F131" i="27" s="1"/>
  <c r="B121" i="27"/>
  <c r="C120" i="27" s="1"/>
  <c r="F122" i="27" s="1"/>
  <c r="B119" i="27"/>
  <c r="C127" i="27" s="1"/>
  <c r="F128" i="27" s="1"/>
  <c r="B108" i="27"/>
  <c r="C112" i="27" s="1"/>
  <c r="F114" i="27" s="1"/>
  <c r="B106" i="27"/>
  <c r="C107" i="27" s="1"/>
  <c r="F108" i="27" s="1"/>
  <c r="B104" i="27"/>
  <c r="C110" i="27" s="1"/>
  <c r="F111" i="27" s="1"/>
  <c r="B102" i="27"/>
  <c r="C103" i="27" s="1"/>
  <c r="F105" i="27" s="1"/>
  <c r="H117" i="21"/>
  <c r="H111" i="21"/>
  <c r="H105" i="21"/>
  <c r="H114" i="21"/>
  <c r="H108" i="21"/>
  <c r="H102" i="21"/>
  <c r="B305" i="33" l="1"/>
  <c r="B303" i="33"/>
  <c r="B301" i="33"/>
  <c r="B304" i="33"/>
  <c r="B302" i="33"/>
  <c r="B300" i="33"/>
  <c r="B319" i="29"/>
  <c r="B317" i="29"/>
  <c r="B315" i="29"/>
  <c r="B313" i="29"/>
  <c r="B311" i="29"/>
  <c r="B309" i="29"/>
  <c r="B307" i="29"/>
  <c r="B305" i="29"/>
  <c r="B303" i="29"/>
  <c r="B301" i="29"/>
  <c r="B318" i="29"/>
  <c r="B316" i="29"/>
  <c r="B314" i="29"/>
  <c r="B312" i="29"/>
  <c r="B310" i="29"/>
  <c r="B308" i="29"/>
  <c r="B306" i="29"/>
  <c r="B304" i="29"/>
  <c r="B302" i="29"/>
  <c r="B300" i="29"/>
  <c r="B307" i="27"/>
  <c r="B305" i="27"/>
  <c r="B303" i="27"/>
  <c r="B301" i="27"/>
  <c r="B306" i="27"/>
  <c r="B304" i="27"/>
  <c r="B302" i="27"/>
  <c r="B300" i="27"/>
  <c r="B305" i="21"/>
  <c r="B303" i="21"/>
  <c r="B301" i="21"/>
  <c r="B304" i="21"/>
  <c r="B302" i="21"/>
  <c r="B300" i="21"/>
  <c r="P9" i="4" l="1"/>
  <c r="P10" i="4"/>
  <c r="P11" i="4"/>
  <c r="P12" i="4"/>
  <c r="P13" i="4"/>
  <c r="P14" i="4"/>
  <c r="P15" i="4"/>
  <c r="P16" i="4"/>
  <c r="P17" i="4"/>
  <c r="P18" i="4"/>
  <c r="P19" i="4"/>
  <c r="P20" i="4"/>
  <c r="P21" i="4"/>
  <c r="P22" i="4"/>
  <c r="P23" i="4"/>
  <c r="P24" i="4"/>
  <c r="P25" i="4"/>
  <c r="P26" i="4"/>
  <c r="P27" i="4"/>
  <c r="P28" i="4"/>
  <c r="P29" i="4"/>
  <c r="P30" i="4"/>
  <c r="P31" i="4"/>
  <c r="P32" i="4"/>
  <c r="P33" i="4"/>
  <c r="P34" i="4"/>
  <c r="P35" i="4"/>
  <c r="P36" i="4"/>
  <c r="P37" i="4"/>
  <c r="P38" i="4"/>
  <c r="P39" i="4"/>
  <c r="P40" i="4"/>
  <c r="P41" i="4"/>
  <c r="P42" i="4"/>
  <c r="P43" i="4"/>
  <c r="P44" i="4"/>
  <c r="P45" i="4"/>
  <c r="P46" i="4"/>
  <c r="P47" i="4"/>
  <c r="P48" i="4"/>
  <c r="P49" i="4"/>
  <c r="P50" i="4"/>
  <c r="P51" i="4"/>
  <c r="P52" i="4"/>
  <c r="P53" i="4"/>
  <c r="P54" i="4"/>
  <c r="P55" i="4"/>
  <c r="P56" i="4"/>
  <c r="P57" i="4"/>
  <c r="P58" i="4"/>
  <c r="P59" i="4"/>
  <c r="P60" i="4"/>
  <c r="P61" i="4"/>
  <c r="P62" i="4"/>
  <c r="P63" i="4"/>
  <c r="P64" i="4"/>
  <c r="P8" i="10"/>
  <c r="P10" i="10"/>
  <c r="P12" i="10"/>
  <c r="P14" i="10"/>
  <c r="P16" i="10"/>
  <c r="P18" i="10"/>
  <c r="P20" i="10"/>
  <c r="P8" i="4"/>
  <c r="P9" i="10"/>
  <c r="P11" i="10"/>
  <c r="P13" i="10"/>
  <c r="P15" i="10"/>
  <c r="P17" i="10"/>
  <c r="P19" i="10"/>
  <c r="P21" i="10"/>
  <c r="P23" i="10"/>
  <c r="P25" i="10"/>
  <c r="P27" i="10"/>
  <c r="P29" i="10"/>
  <c r="P31" i="10"/>
  <c r="P33" i="10"/>
  <c r="P35" i="10"/>
  <c r="P37" i="10"/>
  <c r="P39" i="10"/>
  <c r="P24" i="10"/>
  <c r="P28" i="10"/>
  <c r="P32" i="10"/>
  <c r="P36" i="10"/>
  <c r="P7" i="10"/>
  <c r="P22" i="10"/>
  <c r="P26" i="10"/>
  <c r="P30" i="10"/>
  <c r="P34" i="10"/>
  <c r="P38" i="10"/>
  <c r="T10" i="4"/>
  <c r="T12" i="4"/>
  <c r="T14" i="4"/>
  <c r="T16" i="4"/>
  <c r="T18" i="4"/>
  <c r="T20" i="4"/>
  <c r="T22" i="4"/>
  <c r="T24" i="4"/>
  <c r="T26" i="4"/>
  <c r="T28" i="4"/>
  <c r="T30" i="4"/>
  <c r="T32" i="4"/>
  <c r="T34" i="4"/>
  <c r="T36" i="4"/>
  <c r="T38" i="4"/>
  <c r="T40" i="4"/>
  <c r="T42" i="4"/>
  <c r="T44" i="4"/>
  <c r="T46" i="4"/>
  <c r="T48" i="4"/>
  <c r="T50" i="4"/>
  <c r="T52" i="4"/>
  <c r="T54" i="4"/>
  <c r="T56" i="4"/>
  <c r="T58" i="4"/>
  <c r="T60" i="4"/>
  <c r="T62" i="4"/>
  <c r="T64" i="4"/>
  <c r="T9" i="4"/>
  <c r="T11" i="4"/>
  <c r="T13" i="4"/>
  <c r="T15" i="4"/>
  <c r="T17" i="4"/>
  <c r="T19" i="4"/>
  <c r="T21" i="4"/>
  <c r="T23" i="4"/>
  <c r="T25" i="4"/>
  <c r="T27" i="4"/>
  <c r="T29" i="4"/>
  <c r="T31" i="4"/>
  <c r="T33" i="4"/>
  <c r="T35" i="4"/>
  <c r="T37" i="4"/>
  <c r="T39" i="4"/>
  <c r="T41" i="4"/>
  <c r="T43" i="4"/>
  <c r="T45" i="4"/>
  <c r="T47" i="4"/>
  <c r="T49" i="4"/>
  <c r="T51" i="4"/>
  <c r="T53" i="4"/>
  <c r="T55" i="4"/>
  <c r="T57" i="4"/>
  <c r="T59" i="4"/>
  <c r="T61" i="4"/>
  <c r="T63" i="4"/>
  <c r="T8" i="4"/>
  <c r="R8" i="4"/>
  <c r="R9"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9" i="10"/>
  <c r="R11" i="10"/>
  <c r="R13" i="10"/>
  <c r="R15" i="10"/>
  <c r="R17" i="10"/>
  <c r="R19" i="10"/>
  <c r="R21" i="10"/>
  <c r="R23" i="10"/>
  <c r="R25" i="10"/>
  <c r="R27" i="10"/>
  <c r="R29" i="10"/>
  <c r="R31" i="10"/>
  <c r="R33" i="10"/>
  <c r="R35" i="10"/>
  <c r="R37" i="10"/>
  <c r="R39" i="10"/>
  <c r="R8" i="10"/>
  <c r="R10" i="10"/>
  <c r="R12" i="10"/>
  <c r="R14" i="10"/>
  <c r="R16" i="10"/>
  <c r="R18" i="10"/>
  <c r="R20" i="10"/>
  <c r="R22" i="10"/>
  <c r="R24" i="10"/>
  <c r="R26" i="10"/>
  <c r="R28" i="10"/>
  <c r="R30" i="10"/>
  <c r="R32" i="10"/>
  <c r="R34" i="10"/>
  <c r="R36" i="10"/>
  <c r="R38" i="10"/>
  <c r="R7" i="10"/>
  <c r="AE31" i="9" l="1"/>
  <c r="AE30" i="9"/>
  <c r="AE29" i="9"/>
  <c r="AE28" i="9"/>
  <c r="AE27" i="9"/>
  <c r="AE26" i="9"/>
  <c r="AE25" i="9"/>
  <c r="AE24" i="9"/>
  <c r="AE23" i="9"/>
  <c r="AE22" i="9"/>
  <c r="AE21" i="9"/>
  <c r="AE20" i="9"/>
  <c r="AE19" i="9"/>
  <c r="AE18" i="9"/>
  <c r="AE17" i="9"/>
  <c r="AE16" i="9"/>
  <c r="AE15" i="9"/>
  <c r="AE14" i="9"/>
  <c r="AE13" i="9"/>
  <c r="AE12" i="9"/>
  <c r="AE11" i="9"/>
  <c r="AE10" i="9"/>
  <c r="AE9" i="9"/>
  <c r="AE8" i="9"/>
  <c r="AK31" i="9"/>
  <c r="AK30" i="9"/>
  <c r="AK29" i="9"/>
  <c r="AK28" i="9"/>
  <c r="AK27" i="9"/>
  <c r="AK26" i="9"/>
  <c r="AK25" i="9"/>
  <c r="AK24" i="9"/>
  <c r="AK23" i="9"/>
  <c r="AK22" i="9"/>
  <c r="AK21" i="9"/>
  <c r="AK20" i="9"/>
  <c r="AK19" i="9"/>
  <c r="AK18" i="9"/>
  <c r="AK17" i="9"/>
  <c r="AK16" i="9"/>
  <c r="AK15" i="9"/>
  <c r="AK14" i="9"/>
  <c r="AK13" i="9"/>
  <c r="AK12" i="9"/>
  <c r="AK11" i="9"/>
  <c r="AK10" i="9"/>
  <c r="AK9" i="9"/>
  <c r="AK8" i="9"/>
  <c r="AI31" i="9"/>
  <c r="AI30" i="9"/>
  <c r="AI29" i="9"/>
  <c r="AI28" i="9"/>
  <c r="AI27" i="9"/>
  <c r="AI26" i="9"/>
  <c r="AI25" i="9"/>
  <c r="AI24" i="9"/>
  <c r="AI23" i="9"/>
  <c r="AI22" i="9"/>
  <c r="AI21" i="9"/>
  <c r="AI20" i="9"/>
  <c r="AI19" i="9"/>
  <c r="AI18" i="9"/>
  <c r="AI17" i="9"/>
  <c r="AI16" i="9"/>
  <c r="AI15" i="9"/>
  <c r="AI14" i="9"/>
  <c r="AI13" i="9"/>
  <c r="AI12" i="9"/>
  <c r="AI11" i="9"/>
  <c r="AI10" i="9"/>
  <c r="AI9" i="9"/>
  <c r="AI8" i="9"/>
  <c r="AG31" i="9"/>
  <c r="AG30" i="9"/>
  <c r="AG29" i="9"/>
  <c r="AG28" i="9"/>
  <c r="AG27" i="9"/>
  <c r="AG26" i="9"/>
  <c r="AG25" i="9"/>
  <c r="AG24" i="9"/>
  <c r="AG23" i="9"/>
  <c r="AG22" i="9"/>
  <c r="AG21" i="9"/>
  <c r="AG20" i="9"/>
  <c r="AG19" i="9"/>
  <c r="AG18" i="9"/>
  <c r="AG17" i="9"/>
  <c r="AG16" i="9"/>
  <c r="AG15" i="9"/>
  <c r="AG14" i="9"/>
  <c r="AG13" i="9"/>
  <c r="AG12" i="9"/>
  <c r="AG11" i="9"/>
  <c r="AG10" i="9"/>
  <c r="AG9" i="9"/>
  <c r="AG8" i="9"/>
  <c r="AF9" i="9" l="1"/>
  <c r="AH9" i="9"/>
  <c r="AJ9" i="9"/>
  <c r="AL9" i="9"/>
  <c r="AF10" i="9"/>
  <c r="AH10" i="9"/>
  <c r="AJ10" i="9"/>
  <c r="AL10" i="9"/>
  <c r="AF11" i="9"/>
  <c r="AH11" i="9"/>
  <c r="AJ11" i="9"/>
  <c r="AL11" i="9"/>
  <c r="AF12" i="9"/>
  <c r="AH12" i="9"/>
  <c r="AJ12" i="9"/>
  <c r="AL12" i="9"/>
  <c r="AF13" i="9"/>
  <c r="AH13" i="9"/>
  <c r="AJ13" i="9"/>
  <c r="AL13" i="9"/>
  <c r="AF14" i="9"/>
  <c r="AH14" i="9"/>
  <c r="AJ14" i="9"/>
  <c r="AL14" i="9"/>
  <c r="AF15" i="9"/>
  <c r="AH15" i="9"/>
  <c r="AJ15" i="9"/>
  <c r="AL15" i="9"/>
  <c r="AF16" i="9"/>
  <c r="AH16" i="9"/>
  <c r="AJ16" i="9"/>
  <c r="AL16" i="9"/>
  <c r="AF17" i="9"/>
  <c r="AH17" i="9"/>
  <c r="AJ17" i="9"/>
  <c r="AL17" i="9"/>
  <c r="AF18" i="9"/>
  <c r="AH18" i="9"/>
  <c r="AJ18" i="9"/>
  <c r="AL18" i="9"/>
  <c r="AF19" i="9"/>
  <c r="AH19" i="9"/>
  <c r="AJ19" i="9"/>
  <c r="AL19" i="9"/>
  <c r="AF20" i="9"/>
  <c r="AH20" i="9"/>
  <c r="AJ20" i="9"/>
  <c r="AL20" i="9"/>
  <c r="AF21" i="9"/>
  <c r="AH21" i="9"/>
  <c r="AJ21" i="9"/>
  <c r="AL21" i="9"/>
  <c r="AF22" i="9"/>
  <c r="AH22" i="9"/>
  <c r="AJ22" i="9"/>
  <c r="AL22" i="9"/>
  <c r="AF23" i="9"/>
  <c r="AH23" i="9"/>
  <c r="AJ23" i="9"/>
  <c r="AL23" i="9"/>
  <c r="AF24" i="9"/>
  <c r="AH24" i="9"/>
  <c r="AJ24" i="9"/>
  <c r="AL24" i="9"/>
  <c r="AF25" i="9"/>
  <c r="AH25" i="9"/>
  <c r="AJ25" i="9"/>
  <c r="AL25" i="9"/>
  <c r="AF26" i="9"/>
  <c r="AH26" i="9"/>
  <c r="AJ26" i="9"/>
  <c r="AL26" i="9"/>
  <c r="AF27" i="9"/>
  <c r="AH27" i="9"/>
  <c r="AJ27" i="9"/>
  <c r="AL27" i="9"/>
  <c r="AF28" i="9"/>
  <c r="AH28" i="9"/>
  <c r="AJ28" i="9"/>
  <c r="AL28" i="9"/>
  <c r="AF29" i="9"/>
  <c r="AH29" i="9"/>
  <c r="AJ29" i="9"/>
  <c r="AL29" i="9"/>
  <c r="AF30" i="9"/>
  <c r="AH30" i="9"/>
  <c r="AJ30" i="9"/>
  <c r="AL30" i="9"/>
  <c r="AF31" i="9"/>
  <c r="AH31" i="9"/>
  <c r="AJ31" i="9"/>
  <c r="AL31" i="9"/>
  <c r="AL8" i="9"/>
  <c r="AJ8" i="9"/>
  <c r="AH8" i="9"/>
  <c r="AF8" i="9"/>
  <c r="AD8" i="9" s="1"/>
  <c r="I39" i="10"/>
  <c r="M39" i="10"/>
  <c r="J39" i="10"/>
  <c r="D39" i="10"/>
  <c r="C39" i="10" s="1"/>
  <c r="B39" i="10"/>
  <c r="A39" i="10" s="1"/>
  <c r="J38" i="10"/>
  <c r="M38" i="10"/>
  <c r="D38" i="10"/>
  <c r="C38" i="10" s="1"/>
  <c r="M37" i="10"/>
  <c r="D37" i="10"/>
  <c r="C37" i="10" s="1"/>
  <c r="B37" i="10"/>
  <c r="A37" i="10" s="1"/>
  <c r="M36" i="10"/>
  <c r="D36" i="10"/>
  <c r="C36" i="10" s="1"/>
  <c r="B36" i="10"/>
  <c r="A36" i="10" s="1"/>
  <c r="M35" i="10"/>
  <c r="D35" i="10"/>
  <c r="C35" i="10" s="1"/>
  <c r="B35" i="10"/>
  <c r="A35" i="10" s="1"/>
  <c r="M34" i="10"/>
  <c r="J34" i="10"/>
  <c r="D34" i="10"/>
  <c r="C34" i="10" s="1"/>
  <c r="J33" i="10"/>
  <c r="M33" i="10"/>
  <c r="D33" i="10"/>
  <c r="C33" i="10" s="1"/>
  <c r="B33" i="10"/>
  <c r="A33" i="10" s="1"/>
  <c r="J32" i="10"/>
  <c r="M32" i="10"/>
  <c r="D32" i="10"/>
  <c r="C32" i="10" s="1"/>
  <c r="B32" i="10"/>
  <c r="A32" i="10" s="1"/>
  <c r="J31" i="10"/>
  <c r="M31" i="10"/>
  <c r="D31" i="10"/>
  <c r="C31" i="10" s="1"/>
  <c r="M30" i="10"/>
  <c r="D30" i="10"/>
  <c r="C30" i="10" s="1"/>
  <c r="B30" i="10"/>
  <c r="A30" i="10" s="1"/>
  <c r="M29" i="10"/>
  <c r="D29" i="10"/>
  <c r="C29" i="10" s="1"/>
  <c r="B29" i="10"/>
  <c r="A29" i="10" s="1"/>
  <c r="M28" i="10"/>
  <c r="I28" i="10"/>
  <c r="D28" i="10"/>
  <c r="C28" i="10" s="1"/>
  <c r="B28" i="10"/>
  <c r="A28" i="10" s="1"/>
  <c r="I27" i="10"/>
  <c r="M27" i="10"/>
  <c r="D27" i="10"/>
  <c r="C27" i="10" s="1"/>
  <c r="M26" i="10"/>
  <c r="D26" i="10"/>
  <c r="C26" i="10" s="1"/>
  <c r="B26" i="10"/>
  <c r="A26" i="10" s="1"/>
  <c r="M25" i="10"/>
  <c r="I25" i="10"/>
  <c r="D25" i="10"/>
  <c r="C25" i="10" s="1"/>
  <c r="B25" i="10"/>
  <c r="A25" i="10" s="1"/>
  <c r="I24" i="10"/>
  <c r="M24" i="10"/>
  <c r="D24" i="10"/>
  <c r="C24" i="10" s="1"/>
  <c r="B24" i="10"/>
  <c r="A24" i="10" s="1"/>
  <c r="I23" i="10"/>
  <c r="M23" i="10"/>
  <c r="B23" i="10"/>
  <c r="A23" i="10" s="1"/>
  <c r="M22" i="10"/>
  <c r="D22" i="10"/>
  <c r="C22" i="10" s="1"/>
  <c r="B22" i="10"/>
  <c r="A22" i="10" s="1"/>
  <c r="M21" i="10"/>
  <c r="D21" i="10"/>
  <c r="C21" i="10" s="1"/>
  <c r="I20" i="10"/>
  <c r="M20" i="10"/>
  <c r="D20" i="10"/>
  <c r="C20" i="10" s="1"/>
  <c r="B20" i="10"/>
  <c r="A20" i="10" s="1"/>
  <c r="J19" i="10"/>
  <c r="M19" i="10"/>
  <c r="D19" i="10"/>
  <c r="C19" i="10" s="1"/>
  <c r="B19" i="10"/>
  <c r="A19" i="10" s="1"/>
  <c r="M18" i="10"/>
  <c r="D18" i="10"/>
  <c r="C18" i="10" s="1"/>
  <c r="B18" i="10"/>
  <c r="A18" i="10" s="1"/>
  <c r="J17" i="10"/>
  <c r="M17" i="10"/>
  <c r="D17" i="10"/>
  <c r="C17" i="10" s="1"/>
  <c r="B17" i="10"/>
  <c r="A17" i="10" s="1"/>
  <c r="I16" i="10"/>
  <c r="M16" i="10"/>
  <c r="D16" i="10"/>
  <c r="C16" i="10" s="1"/>
  <c r="B16" i="10"/>
  <c r="A16" i="10" s="1"/>
  <c r="M15" i="10"/>
  <c r="D15" i="10"/>
  <c r="C15" i="10" s="1"/>
  <c r="B15" i="10"/>
  <c r="A15" i="10" s="1"/>
  <c r="I14" i="10"/>
  <c r="M14" i="10"/>
  <c r="D14" i="10"/>
  <c r="C14" i="10" s="1"/>
  <c r="B14" i="10"/>
  <c r="A14" i="10" s="1"/>
  <c r="M13" i="10"/>
  <c r="D13" i="10"/>
  <c r="C13" i="10" s="1"/>
  <c r="B13" i="10"/>
  <c r="A13" i="10" s="1"/>
  <c r="M12" i="10"/>
  <c r="D12" i="10"/>
  <c r="C12" i="10" s="1"/>
  <c r="B12" i="10"/>
  <c r="A12" i="10" s="1"/>
  <c r="M11" i="10"/>
  <c r="D11" i="10"/>
  <c r="C11" i="10" s="1"/>
  <c r="B11" i="10"/>
  <c r="A11" i="10" s="1"/>
  <c r="M10" i="10"/>
  <c r="D10" i="10"/>
  <c r="C10" i="10" s="1"/>
  <c r="B10" i="10"/>
  <c r="A10" i="10" s="1"/>
  <c r="M9" i="10"/>
  <c r="D9" i="10"/>
  <c r="C9" i="10" s="1"/>
  <c r="B9" i="10"/>
  <c r="A9" i="10" s="1"/>
  <c r="M8" i="10"/>
  <c r="D8" i="10"/>
  <c r="C8" i="10" s="1"/>
  <c r="B8" i="10"/>
  <c r="A8" i="10" s="1"/>
  <c r="M7" i="10"/>
  <c r="D7" i="10"/>
  <c r="C7" i="10" s="1"/>
  <c r="B7" i="10"/>
  <c r="A7" i="10" s="1"/>
  <c r="R6" i="10"/>
  <c r="Q6" i="10"/>
  <c r="P6" i="10"/>
  <c r="R4" i="10"/>
  <c r="Q4" i="10"/>
  <c r="P4" i="10"/>
  <c r="C323" i="9"/>
  <c r="C322" i="9"/>
  <c r="C321" i="9"/>
  <c r="C320" i="9"/>
  <c r="C319" i="9"/>
  <c r="C318" i="9"/>
  <c r="C317" i="9"/>
  <c r="C316" i="9"/>
  <c r="C315" i="9"/>
  <c r="C314" i="9"/>
  <c r="C313" i="9"/>
  <c r="C312" i="9"/>
  <c r="C311" i="9"/>
  <c r="C310" i="9"/>
  <c r="C309" i="9"/>
  <c r="C308" i="9"/>
  <c r="C307" i="9"/>
  <c r="C306" i="9"/>
  <c r="C305" i="9"/>
  <c r="C304" i="9"/>
  <c r="C303" i="9"/>
  <c r="C302" i="9"/>
  <c r="C301" i="9"/>
  <c r="C300" i="9"/>
  <c r="AA31" i="9"/>
  <c r="Y31" i="9"/>
  <c r="AB31" i="9" s="1"/>
  <c r="W31" i="9"/>
  <c r="AA30" i="9"/>
  <c r="Y30" i="9"/>
  <c r="AB30" i="9" s="1"/>
  <c r="W30" i="9"/>
  <c r="AA29" i="9"/>
  <c r="Y29" i="9"/>
  <c r="AB29" i="9" s="1"/>
  <c r="W29" i="9"/>
  <c r="AA28" i="9"/>
  <c r="Y28" i="9"/>
  <c r="AB28" i="9" s="1"/>
  <c r="W28" i="9"/>
  <c r="AA27" i="9"/>
  <c r="Y27" i="9"/>
  <c r="AB27" i="9" s="1"/>
  <c r="W27" i="9"/>
  <c r="AA26" i="9"/>
  <c r="Y26" i="9"/>
  <c r="AB26" i="9" s="1"/>
  <c r="W26" i="9"/>
  <c r="AA25" i="9"/>
  <c r="Y25" i="9"/>
  <c r="AB25" i="9" s="1"/>
  <c r="W25" i="9"/>
  <c r="AA24" i="9"/>
  <c r="Y24" i="9"/>
  <c r="AB24" i="9" s="1"/>
  <c r="W24" i="9"/>
  <c r="AA23" i="9"/>
  <c r="Y23" i="9"/>
  <c r="AB23" i="9" s="1"/>
  <c r="W23" i="9"/>
  <c r="AA22" i="9"/>
  <c r="Y22" i="9"/>
  <c r="AB22" i="9" s="1"/>
  <c r="W22" i="9"/>
  <c r="AA21" i="9"/>
  <c r="Y21" i="9"/>
  <c r="AB21" i="9" s="1"/>
  <c r="W21" i="9"/>
  <c r="AA20" i="9"/>
  <c r="Y20" i="9"/>
  <c r="AB20" i="9" s="1"/>
  <c r="W20" i="9"/>
  <c r="AA19" i="9"/>
  <c r="Y19" i="9"/>
  <c r="AB19" i="9" s="1"/>
  <c r="W19" i="9"/>
  <c r="AA18" i="9"/>
  <c r="Y18" i="9"/>
  <c r="AB18" i="9" s="1"/>
  <c r="W18" i="9"/>
  <c r="AA17" i="9"/>
  <c r="Y17" i="9"/>
  <c r="AB17" i="9" s="1"/>
  <c r="W17" i="9"/>
  <c r="AA16" i="9"/>
  <c r="Y16" i="9"/>
  <c r="AB16" i="9" s="1"/>
  <c r="W16" i="9"/>
  <c r="AA15" i="9"/>
  <c r="Y15" i="9"/>
  <c r="W15" i="9"/>
  <c r="AA14" i="9"/>
  <c r="Y14" i="9"/>
  <c r="AB14" i="9" s="1"/>
  <c r="W14" i="9"/>
  <c r="AA13" i="9"/>
  <c r="Y13" i="9"/>
  <c r="W13" i="9"/>
  <c r="AA12" i="9"/>
  <c r="Y12" i="9"/>
  <c r="AB12" i="9" s="1"/>
  <c r="W12" i="9"/>
  <c r="AA11" i="9"/>
  <c r="Y11" i="9"/>
  <c r="AB11" i="9" s="1"/>
  <c r="W11" i="9"/>
  <c r="AA10" i="9"/>
  <c r="Y10" i="9"/>
  <c r="AB10" i="9" s="1"/>
  <c r="W10" i="9"/>
  <c r="AA9" i="9"/>
  <c r="Y9" i="9"/>
  <c r="AB9" i="9" s="1"/>
  <c r="W9" i="9"/>
  <c r="AA8" i="9"/>
  <c r="Y8" i="9"/>
  <c r="AB8" i="9" s="1"/>
  <c r="W8" i="9"/>
  <c r="J1" i="9"/>
  <c r="F1" i="9"/>
  <c r="Q63" i="5"/>
  <c r="P63" i="5"/>
  <c r="O63" i="5"/>
  <c r="M63" i="5"/>
  <c r="V62" i="5"/>
  <c r="V61" i="5"/>
  <c r="N61" i="5"/>
  <c r="S60" i="5"/>
  <c r="V60" i="5"/>
  <c r="V59" i="5"/>
  <c r="N59" i="5"/>
  <c r="V58" i="5"/>
  <c r="N58" i="5"/>
  <c r="S57" i="5"/>
  <c r="V57" i="5"/>
  <c r="N57" i="5"/>
  <c r="V56" i="5"/>
  <c r="V55" i="5"/>
  <c r="V54" i="5"/>
  <c r="S54" i="5"/>
  <c r="R53" i="5"/>
  <c r="V53" i="5"/>
  <c r="N53" i="5"/>
  <c r="R52" i="5"/>
  <c r="AG14" i="17" s="1"/>
  <c r="V52" i="5"/>
  <c r="S51" i="5"/>
  <c r="V51" i="5"/>
  <c r="V50" i="5"/>
  <c r="N50" i="5"/>
  <c r="V49" i="5"/>
  <c r="N49" i="5"/>
  <c r="R48" i="5"/>
  <c r="AE12" i="16" s="1"/>
  <c r="V48" i="5"/>
  <c r="V47" i="5"/>
  <c r="N47" i="5"/>
  <c r="V46" i="5"/>
  <c r="R45" i="5"/>
  <c r="V45" i="5"/>
  <c r="N45" i="5"/>
  <c r="V44" i="5"/>
  <c r="V43" i="5"/>
  <c r="N43" i="5"/>
  <c r="V42" i="5"/>
  <c r="R41" i="5"/>
  <c r="V41" i="5"/>
  <c r="S40" i="5"/>
  <c r="V40" i="5"/>
  <c r="N40" i="5"/>
  <c r="V39" i="5"/>
  <c r="N39" i="5"/>
  <c r="BA38" i="5"/>
  <c r="V38" i="5"/>
  <c r="N38" i="5"/>
  <c r="AY37" i="5"/>
  <c r="V37" i="5"/>
  <c r="N37" i="5"/>
  <c r="BE36" i="5"/>
  <c r="BA36" i="5"/>
  <c r="V36" i="5"/>
  <c r="V35" i="5"/>
  <c r="N35" i="5"/>
  <c r="BE34" i="5"/>
  <c r="BA34" i="5"/>
  <c r="V34" i="5"/>
  <c r="N34" i="5"/>
  <c r="BG33" i="5"/>
  <c r="BC33" i="5"/>
  <c r="AY33" i="5"/>
  <c r="V33" i="5"/>
  <c r="N33" i="5"/>
  <c r="BE32" i="5"/>
  <c r="BA32" i="5"/>
  <c r="V32" i="5"/>
  <c r="N32" i="5"/>
  <c r="BG31" i="5"/>
  <c r="BC31" i="5"/>
  <c r="AY31" i="5"/>
  <c r="V31" i="5"/>
  <c r="N31" i="5"/>
  <c r="BE30" i="5"/>
  <c r="BA30" i="5"/>
  <c r="V30" i="5"/>
  <c r="V29" i="5"/>
  <c r="BE28" i="5"/>
  <c r="BA28" i="5"/>
  <c r="V28" i="5"/>
  <c r="N28" i="5"/>
  <c r="BG27" i="5"/>
  <c r="BC27" i="5"/>
  <c r="AY27" i="5"/>
  <c r="V27" i="5"/>
  <c r="V26" i="5"/>
  <c r="N26" i="5"/>
  <c r="V25" i="5"/>
  <c r="N25" i="5"/>
  <c r="V24" i="5"/>
  <c r="N24" i="5"/>
  <c r="V23" i="5"/>
  <c r="R23" i="5"/>
  <c r="N23" i="5"/>
  <c r="I23" i="5"/>
  <c r="BC22" i="5"/>
  <c r="BA22" i="5"/>
  <c r="AY22" i="5"/>
  <c r="V22" i="5"/>
  <c r="N22" i="5"/>
  <c r="BG21" i="5"/>
  <c r="BE21" i="5"/>
  <c r="BC21" i="5"/>
  <c r="BA21" i="5"/>
  <c r="AY21" i="5"/>
  <c r="V21" i="5"/>
  <c r="N21" i="5"/>
  <c r="BG20" i="5"/>
  <c r="BE20" i="5"/>
  <c r="BC20" i="5"/>
  <c r="BA20" i="5"/>
  <c r="AY20" i="5"/>
  <c r="V20" i="5"/>
  <c r="N20" i="5"/>
  <c r="BG19" i="5"/>
  <c r="BE19" i="5"/>
  <c r="BC19" i="5"/>
  <c r="BA19" i="5"/>
  <c r="AY19" i="5"/>
  <c r="V19" i="5"/>
  <c r="N19" i="5"/>
  <c r="BG18" i="5"/>
  <c r="BE18" i="5"/>
  <c r="BC18" i="5"/>
  <c r="BA18" i="5"/>
  <c r="AY18" i="5"/>
  <c r="V18" i="5"/>
  <c r="N18" i="5"/>
  <c r="BG17" i="5"/>
  <c r="BE17" i="5"/>
  <c r="BC17" i="5"/>
  <c r="BA17" i="5"/>
  <c r="AY17" i="5"/>
  <c r="V17" i="5"/>
  <c r="N17" i="5"/>
  <c r="BG16" i="5"/>
  <c r="BE16" i="5"/>
  <c r="BC16" i="5"/>
  <c r="BA16" i="5"/>
  <c r="AY16" i="5"/>
  <c r="V16" i="5"/>
  <c r="V15" i="5"/>
  <c r="BG14" i="5"/>
  <c r="BE14" i="5"/>
  <c r="BC14" i="5"/>
  <c r="BA14" i="5"/>
  <c r="AY14" i="5"/>
  <c r="V14" i="5"/>
  <c r="N14" i="5"/>
  <c r="BG13" i="5"/>
  <c r="BE13" i="5"/>
  <c r="BC13" i="5"/>
  <c r="BA13" i="5"/>
  <c r="AY13" i="5"/>
  <c r="V13" i="5"/>
  <c r="N13" i="5"/>
  <c r="BG12" i="5"/>
  <c r="BE12" i="5"/>
  <c r="BC12" i="5"/>
  <c r="BA12" i="5"/>
  <c r="AY12" i="5"/>
  <c r="V12" i="5"/>
  <c r="N12" i="5"/>
  <c r="V11" i="5"/>
  <c r="N11" i="5"/>
  <c r="BG10" i="5"/>
  <c r="BE10" i="5"/>
  <c r="BC10" i="5"/>
  <c r="BA10" i="5"/>
  <c r="AY10" i="5"/>
  <c r="V10" i="5"/>
  <c r="N10" i="5"/>
  <c r="BG9" i="5"/>
  <c r="BE9" i="5"/>
  <c r="BC9" i="5"/>
  <c r="BA9" i="5"/>
  <c r="AY9" i="5"/>
  <c r="V9" i="5"/>
  <c r="N9" i="5"/>
  <c r="V8" i="5"/>
  <c r="S7" i="5"/>
  <c r="V7" i="5"/>
  <c r="N7" i="5"/>
  <c r="AM6" i="5"/>
  <c r="AI6" i="5"/>
  <c r="AH6" i="5"/>
  <c r="AG6" i="5"/>
  <c r="BE43" i="5" s="1"/>
  <c r="AF6" i="5"/>
  <c r="BD44" i="5" s="1"/>
  <c r="AE6" i="5"/>
  <c r="AD6" i="5"/>
  <c r="BB41" i="5" s="1"/>
  <c r="AC6" i="5"/>
  <c r="AB6" i="5"/>
  <c r="AA6" i="5"/>
  <c r="Z6" i="5"/>
  <c r="AM4" i="5"/>
  <c r="AI4" i="5"/>
  <c r="AH4" i="5"/>
  <c r="AG4" i="5"/>
  <c r="AF4" i="5"/>
  <c r="AE4" i="5"/>
  <c r="AD4" i="5"/>
  <c r="AC4" i="5"/>
  <c r="AB4" i="5"/>
  <c r="AA4" i="5"/>
  <c r="Z4" i="5"/>
  <c r="M64" i="4"/>
  <c r="D64" i="4"/>
  <c r="C64" i="4" s="1"/>
  <c r="B64" i="4"/>
  <c r="A64" i="4" s="1"/>
  <c r="M63" i="4"/>
  <c r="B63" i="4"/>
  <c r="A63" i="4" s="1"/>
  <c r="M62" i="4"/>
  <c r="D62" i="4"/>
  <c r="C62" i="4" s="1"/>
  <c r="B62" i="4"/>
  <c r="A62" i="4" s="1"/>
  <c r="M61" i="4"/>
  <c r="D61" i="4"/>
  <c r="C61" i="4" s="1"/>
  <c r="B61" i="4"/>
  <c r="A61" i="4" s="1"/>
  <c r="M60" i="4"/>
  <c r="D60" i="4"/>
  <c r="C60" i="4" s="1"/>
  <c r="B60" i="4"/>
  <c r="A60" i="4" s="1"/>
  <c r="M59" i="4"/>
  <c r="D59" i="4"/>
  <c r="C59" i="4" s="1"/>
  <c r="B59" i="4"/>
  <c r="A59" i="4" s="1"/>
  <c r="M58" i="4"/>
  <c r="D58" i="4"/>
  <c r="C58" i="4" s="1"/>
  <c r="B58" i="4"/>
  <c r="A58" i="4" s="1"/>
  <c r="M57" i="4"/>
  <c r="B57" i="4"/>
  <c r="A57" i="4" s="1"/>
  <c r="M56" i="4"/>
  <c r="D56" i="4"/>
  <c r="C56" i="4" s="1"/>
  <c r="M55" i="4"/>
  <c r="D55" i="4"/>
  <c r="C55" i="4" s="1"/>
  <c r="B55" i="4"/>
  <c r="A55" i="4" s="1"/>
  <c r="M54" i="4"/>
  <c r="D54" i="4"/>
  <c r="C54" i="4" s="1"/>
  <c r="B54" i="4"/>
  <c r="A54" i="4" s="1"/>
  <c r="M53" i="4"/>
  <c r="D53" i="4"/>
  <c r="C53" i="4" s="1"/>
  <c r="B53" i="4"/>
  <c r="A53" i="4" s="1"/>
  <c r="M52" i="4"/>
  <c r="D52" i="4"/>
  <c r="C52" i="4" s="1"/>
  <c r="B52" i="4"/>
  <c r="A52" i="4" s="1"/>
  <c r="M51" i="4"/>
  <c r="D51" i="4"/>
  <c r="C51" i="4" s="1"/>
  <c r="B51" i="4"/>
  <c r="A51" i="4" s="1"/>
  <c r="M50" i="4"/>
  <c r="D50" i="4"/>
  <c r="C50" i="4" s="1"/>
  <c r="B50" i="4"/>
  <c r="A50" i="4" s="1"/>
  <c r="M49" i="4"/>
  <c r="D49" i="4"/>
  <c r="C49" i="4" s="1"/>
  <c r="M48" i="4"/>
  <c r="D48" i="4"/>
  <c r="C48" i="4" s="1"/>
  <c r="B48" i="4"/>
  <c r="A48" i="4" s="1"/>
  <c r="M47" i="4"/>
  <c r="D47" i="4"/>
  <c r="C47" i="4" s="1"/>
  <c r="B47" i="4"/>
  <c r="A47" i="4" s="1"/>
  <c r="M46" i="4"/>
  <c r="D46" i="4"/>
  <c r="C46" i="4" s="1"/>
  <c r="B46" i="4"/>
  <c r="A46" i="4" s="1"/>
  <c r="M45" i="4"/>
  <c r="D45" i="4"/>
  <c r="C45" i="4" s="1"/>
  <c r="M44" i="4"/>
  <c r="D44" i="4"/>
  <c r="C44" i="4" s="1"/>
  <c r="B44" i="4"/>
  <c r="A44" i="4" s="1"/>
  <c r="M43" i="4"/>
  <c r="D43" i="4"/>
  <c r="C43" i="4" s="1"/>
  <c r="B43" i="4"/>
  <c r="A43" i="4" s="1"/>
  <c r="M42" i="4"/>
  <c r="D42" i="4"/>
  <c r="C42" i="4" s="1"/>
  <c r="B42" i="4"/>
  <c r="A42" i="4" s="1"/>
  <c r="M41" i="4"/>
  <c r="D41" i="4"/>
  <c r="C41" i="4" s="1"/>
  <c r="M40" i="4"/>
  <c r="D40" i="4"/>
  <c r="C40" i="4" s="1"/>
  <c r="B40" i="4"/>
  <c r="A40" i="4" s="1"/>
  <c r="M39" i="4"/>
  <c r="B39" i="4"/>
  <c r="A39" i="4" s="1"/>
  <c r="M38" i="4"/>
  <c r="M37" i="4"/>
  <c r="B37" i="4"/>
  <c r="A37" i="4" s="1"/>
  <c r="M36" i="4"/>
  <c r="D36" i="4"/>
  <c r="C36" i="4" s="1"/>
  <c r="B36" i="4"/>
  <c r="A36" i="4" s="1"/>
  <c r="M35" i="4"/>
  <c r="D35" i="4"/>
  <c r="C35" i="4" s="1"/>
  <c r="B35" i="4"/>
  <c r="A35" i="4" s="1"/>
  <c r="M34" i="4"/>
  <c r="D34" i="4"/>
  <c r="C34" i="4" s="1"/>
  <c r="M33" i="4"/>
  <c r="D33" i="4"/>
  <c r="C33" i="4" s="1"/>
  <c r="B33" i="4"/>
  <c r="A33" i="4" s="1"/>
  <c r="M32" i="4"/>
  <c r="D32" i="4"/>
  <c r="C32" i="4" s="1"/>
  <c r="B32" i="4"/>
  <c r="A32" i="4" s="1"/>
  <c r="M31" i="4"/>
  <c r="D31" i="4"/>
  <c r="C31" i="4" s="1"/>
  <c r="B31" i="4"/>
  <c r="A31" i="4" s="1"/>
  <c r="M30" i="4"/>
  <c r="D30" i="4"/>
  <c r="C30" i="4" s="1"/>
  <c r="B30" i="4"/>
  <c r="A30" i="4" s="1"/>
  <c r="M29" i="4"/>
  <c r="D29" i="4"/>
  <c r="C29" i="4" s="1"/>
  <c r="M28" i="4"/>
  <c r="D28" i="4"/>
  <c r="C28" i="4" s="1"/>
  <c r="B28" i="4"/>
  <c r="A28" i="4" s="1"/>
  <c r="M27" i="4"/>
  <c r="B27" i="4"/>
  <c r="A27" i="4" s="1"/>
  <c r="M26" i="4"/>
  <c r="D26" i="4"/>
  <c r="C26" i="4" s="1"/>
  <c r="B26" i="4"/>
  <c r="A26" i="4" s="1"/>
  <c r="M25" i="4"/>
  <c r="D25" i="4"/>
  <c r="C25" i="4" s="1"/>
  <c r="B25" i="4"/>
  <c r="A25" i="4" s="1"/>
  <c r="M24" i="4"/>
  <c r="D24" i="4"/>
  <c r="C24" i="4" s="1"/>
  <c r="B24" i="4"/>
  <c r="A24" i="4" s="1"/>
  <c r="M23" i="4"/>
  <c r="D23" i="4"/>
  <c r="C23" i="4" s="1"/>
  <c r="B23" i="4"/>
  <c r="A23" i="4" s="1"/>
  <c r="M22" i="4"/>
  <c r="D22" i="4"/>
  <c r="C22" i="4" s="1"/>
  <c r="M21" i="4"/>
  <c r="D21" i="4"/>
  <c r="C21" i="4" s="1"/>
  <c r="B21" i="4"/>
  <c r="A21" i="4" s="1"/>
  <c r="M20" i="4"/>
  <c r="D20" i="4"/>
  <c r="C20" i="4" s="1"/>
  <c r="B20" i="4"/>
  <c r="A20" i="4" s="1"/>
  <c r="M19" i="4"/>
  <c r="D19" i="4"/>
  <c r="C19" i="4" s="1"/>
  <c r="B19" i="4"/>
  <c r="A19" i="4" s="1"/>
  <c r="M18" i="4"/>
  <c r="D18" i="4"/>
  <c r="C18" i="4" s="1"/>
  <c r="B18" i="4"/>
  <c r="A18" i="4" s="1"/>
  <c r="M17" i="4"/>
  <c r="D17" i="4"/>
  <c r="C17" i="4" s="1"/>
  <c r="B17" i="4"/>
  <c r="A17" i="4" s="1"/>
  <c r="M16" i="4"/>
  <c r="D16" i="4"/>
  <c r="C16" i="4" s="1"/>
  <c r="B16" i="4"/>
  <c r="A16" i="4" s="1"/>
  <c r="M15" i="4"/>
  <c r="D15" i="4"/>
  <c r="C15" i="4" s="1"/>
  <c r="B15" i="4"/>
  <c r="A15" i="4" s="1"/>
  <c r="M14" i="4"/>
  <c r="D14" i="4"/>
  <c r="C14" i="4" s="1"/>
  <c r="B14" i="4"/>
  <c r="A14" i="4" s="1"/>
  <c r="M13" i="4"/>
  <c r="D13" i="4"/>
  <c r="C13" i="4" s="1"/>
  <c r="B13" i="4"/>
  <c r="A13" i="4" s="1"/>
  <c r="M12" i="4"/>
  <c r="D12" i="4"/>
  <c r="C12" i="4" s="1"/>
  <c r="B12" i="4"/>
  <c r="A12" i="4" s="1"/>
  <c r="M11" i="4"/>
  <c r="D11" i="4"/>
  <c r="C11" i="4" s="1"/>
  <c r="B11" i="4"/>
  <c r="A11" i="4" s="1"/>
  <c r="M10" i="4"/>
  <c r="D10" i="4"/>
  <c r="C10" i="4" s="1"/>
  <c r="B10" i="4"/>
  <c r="A10" i="4" s="1"/>
  <c r="M9" i="4"/>
  <c r="D9" i="4"/>
  <c r="C9" i="4" s="1"/>
  <c r="B9" i="4"/>
  <c r="A9" i="4" s="1"/>
  <c r="M8" i="4"/>
  <c r="D8" i="4"/>
  <c r="C8" i="4" s="1"/>
  <c r="B8" i="4"/>
  <c r="A8" i="4" s="1"/>
  <c r="AC7" i="4"/>
  <c r="AB7" i="4"/>
  <c r="AA7" i="4"/>
  <c r="Z7" i="4"/>
  <c r="Y7" i="4"/>
  <c r="X7" i="4"/>
  <c r="W7" i="4"/>
  <c r="V7" i="4"/>
  <c r="U7" i="4"/>
  <c r="T7" i="4"/>
  <c r="S7" i="4"/>
  <c r="R7" i="4"/>
  <c r="Q7" i="4"/>
  <c r="P7" i="4"/>
  <c r="H122" i="3"/>
  <c r="N124" i="3"/>
  <c r="N31" i="3"/>
  <c r="N30" i="3"/>
  <c r="L119" i="3"/>
  <c r="M111" i="3"/>
  <c r="M109" i="3"/>
  <c r="K107" i="3"/>
  <c r="Q105" i="3"/>
  <c r="M105" i="3"/>
  <c r="Q103" i="3"/>
  <c r="M103" i="3"/>
  <c r="M101" i="3"/>
  <c r="M99" i="3"/>
  <c r="L98" i="3"/>
  <c r="K98" i="3"/>
  <c r="F98" i="3"/>
  <c r="C98" i="3"/>
  <c r="Q97" i="3"/>
  <c r="E96" i="3"/>
  <c r="Q94" i="3"/>
  <c r="E94" i="3"/>
  <c r="L93" i="3"/>
  <c r="K93" i="3"/>
  <c r="K91" i="3"/>
  <c r="M90" i="3"/>
  <c r="K90" i="3"/>
  <c r="E90" i="3"/>
  <c r="M88" i="3"/>
  <c r="K88" i="3"/>
  <c r="E88" i="3"/>
  <c r="M87" i="3"/>
  <c r="M85" i="3"/>
  <c r="N83" i="3"/>
  <c r="M83" i="3"/>
  <c r="L83" i="3"/>
  <c r="N81" i="3"/>
  <c r="L81" i="3"/>
  <c r="C81" i="3"/>
  <c r="M80" i="3"/>
  <c r="E80" i="3"/>
  <c r="M78" i="3"/>
  <c r="E78" i="3"/>
  <c r="C78" i="3"/>
  <c r="M77" i="3"/>
  <c r="K77" i="3"/>
  <c r="M75" i="3"/>
  <c r="M74" i="3"/>
  <c r="K74" i="3"/>
  <c r="E74" i="3"/>
  <c r="M72" i="3"/>
  <c r="K72" i="3"/>
  <c r="E72" i="3"/>
  <c r="M71" i="3"/>
  <c r="K71" i="3"/>
  <c r="M69" i="3"/>
  <c r="K69" i="3"/>
  <c r="M68" i="3"/>
  <c r="K68" i="3"/>
  <c r="G68" i="3"/>
  <c r="M67" i="3"/>
  <c r="G66" i="3"/>
  <c r="M63" i="3"/>
  <c r="E63" i="3"/>
  <c r="M61" i="3"/>
  <c r="E61" i="3"/>
  <c r="M60" i="3"/>
  <c r="K60" i="3"/>
  <c r="G60" i="3"/>
  <c r="K58" i="3"/>
  <c r="G58" i="3"/>
  <c r="M57" i="3"/>
  <c r="L57" i="3"/>
  <c r="K57" i="3"/>
  <c r="E56" i="3"/>
  <c r="K54" i="3"/>
  <c r="E54" i="3"/>
  <c r="M53" i="3"/>
  <c r="K53" i="3"/>
  <c r="G53" i="3"/>
  <c r="K51" i="3"/>
  <c r="G51" i="3"/>
  <c r="L49" i="3"/>
  <c r="L48" i="3"/>
  <c r="L47" i="3"/>
  <c r="K47" i="3"/>
  <c r="M46" i="3"/>
  <c r="K46" i="3"/>
  <c r="M44" i="3"/>
  <c r="K44" i="3"/>
  <c r="M43" i="3"/>
  <c r="E43" i="3"/>
  <c r="E41" i="3"/>
  <c r="L40" i="3"/>
  <c r="K40" i="3"/>
  <c r="M37" i="3"/>
  <c r="K37" i="3"/>
  <c r="G37" i="3"/>
  <c r="M35" i="3"/>
  <c r="G35" i="3"/>
  <c r="M34" i="3"/>
  <c r="K34" i="3"/>
  <c r="E34" i="3"/>
  <c r="L33" i="3"/>
  <c r="M32" i="3"/>
  <c r="K32" i="3"/>
  <c r="E32" i="3"/>
  <c r="M29" i="3"/>
  <c r="M27" i="3"/>
  <c r="G28" i="3"/>
  <c r="H27" i="3"/>
  <c r="M25" i="3"/>
  <c r="M23" i="3"/>
  <c r="M22" i="3"/>
  <c r="L22" i="3"/>
  <c r="K22" i="3"/>
  <c r="E22" i="3"/>
  <c r="N21" i="3"/>
  <c r="L21" i="3"/>
  <c r="M20" i="3"/>
  <c r="K20" i="3"/>
  <c r="E20" i="3"/>
  <c r="M17" i="3"/>
  <c r="K17" i="3"/>
  <c r="M16" i="3"/>
  <c r="L16" i="3"/>
  <c r="G16" i="3"/>
  <c r="M14" i="3"/>
  <c r="G14" i="3"/>
  <c r="M13" i="3"/>
  <c r="L13" i="3"/>
  <c r="K13" i="3"/>
  <c r="E13" i="3"/>
  <c r="M11" i="3"/>
  <c r="K11" i="3"/>
  <c r="E11" i="3"/>
  <c r="N10" i="3"/>
  <c r="E10" i="3"/>
  <c r="M9" i="3"/>
  <c r="M7" i="3"/>
  <c r="E7" i="3"/>
  <c r="L6" i="3"/>
  <c r="K6" i="3"/>
  <c r="L5" i="3"/>
  <c r="J1" i="3"/>
  <c r="F47" i="2"/>
  <c r="E47" i="2"/>
  <c r="F46" i="2"/>
  <c r="E46" i="2"/>
  <c r="F45" i="2"/>
  <c r="E45" i="2"/>
  <c r="E43" i="2"/>
  <c r="F42" i="2"/>
  <c r="E42" i="2"/>
  <c r="F41" i="2"/>
  <c r="E41" i="2"/>
  <c r="F40" i="2"/>
  <c r="E40" i="2"/>
  <c r="F39" i="2"/>
  <c r="E39" i="2"/>
  <c r="F37" i="2"/>
  <c r="E37" i="2"/>
  <c r="F36" i="2"/>
  <c r="E36" i="2"/>
  <c r="F35" i="2"/>
  <c r="E35" i="2"/>
  <c r="F34" i="2"/>
  <c r="E34" i="2"/>
  <c r="F33" i="2"/>
  <c r="E33" i="2"/>
  <c r="F31" i="2"/>
  <c r="E31" i="2"/>
  <c r="F30" i="2"/>
  <c r="E30" i="2"/>
  <c r="F29" i="2"/>
  <c r="E29" i="2"/>
  <c r="F28" i="2"/>
  <c r="E28" i="2"/>
  <c r="F27" i="2"/>
  <c r="E27" i="2"/>
  <c r="F25" i="2"/>
  <c r="E25" i="2"/>
  <c r="F24" i="2"/>
  <c r="E24" i="2"/>
  <c r="F23" i="2"/>
  <c r="F22" i="2"/>
  <c r="E22" i="2"/>
  <c r="F21" i="2"/>
  <c r="E21" i="2"/>
  <c r="C21" i="2"/>
  <c r="F20" i="2"/>
  <c r="E20" i="2"/>
  <c r="C20" i="2"/>
  <c r="F19" i="2"/>
  <c r="E19" i="2"/>
  <c r="F18" i="2"/>
  <c r="E18" i="2"/>
  <c r="F17" i="2"/>
  <c r="E17" i="2"/>
  <c r="F15" i="2"/>
  <c r="E15" i="2"/>
  <c r="C15" i="2"/>
  <c r="F14" i="2"/>
  <c r="C14" i="2"/>
  <c r="F13" i="2"/>
  <c r="E13" i="2"/>
  <c r="C13" i="2"/>
  <c r="F12" i="2"/>
  <c r="E12" i="2"/>
  <c r="F11" i="2"/>
  <c r="E11" i="2"/>
  <c r="F10" i="2"/>
  <c r="E10" i="2"/>
  <c r="F9" i="2"/>
  <c r="C9" i="2"/>
  <c r="F8" i="2"/>
  <c r="E8" i="2"/>
  <c r="C8" i="2"/>
  <c r="F7" i="2"/>
  <c r="E7" i="2"/>
  <c r="F6" i="2"/>
  <c r="E6" i="2"/>
  <c r="F5" i="2"/>
  <c r="E5" i="2"/>
  <c r="F1" i="2"/>
  <c r="AZ44" i="5" l="1"/>
  <c r="AZ41" i="5"/>
  <c r="AZ36" i="5"/>
  <c r="AZ34" i="5"/>
  <c r="AZ33" i="5"/>
  <c r="AZ32" i="5"/>
  <c r="AZ31" i="5"/>
  <c r="AZ30" i="5"/>
  <c r="AZ28" i="5"/>
  <c r="AZ27" i="5"/>
  <c r="AZ29" i="5"/>
  <c r="BD29" i="5"/>
  <c r="BE42" i="5"/>
  <c r="AX44" i="5"/>
  <c r="AX37" i="5"/>
  <c r="AX36" i="5"/>
  <c r="AX34" i="5"/>
  <c r="AX33" i="5"/>
  <c r="AX32" i="5"/>
  <c r="AX31" i="5"/>
  <c r="AX30" i="5"/>
  <c r="AX28" i="5"/>
  <c r="AX27" i="5"/>
  <c r="BB44" i="5"/>
  <c r="BB36" i="5"/>
  <c r="BB34" i="5"/>
  <c r="BB33" i="5"/>
  <c r="BB32" i="5"/>
  <c r="BB31" i="5"/>
  <c r="BB30" i="5"/>
  <c r="BB28" i="5"/>
  <c r="BB27" i="5"/>
  <c r="BD41" i="5"/>
  <c r="BD36" i="5"/>
  <c r="BD34" i="5"/>
  <c r="BD33" i="5"/>
  <c r="BD32" i="5"/>
  <c r="BD31" i="5"/>
  <c r="BD30" i="5"/>
  <c r="BD28" i="5"/>
  <c r="BD27" i="5"/>
  <c r="BF44" i="5"/>
  <c r="BF36" i="5"/>
  <c r="BF34" i="5"/>
  <c r="BF33" i="5"/>
  <c r="BF32" i="5"/>
  <c r="BF31" i="5"/>
  <c r="BF30" i="5"/>
  <c r="BF28" i="5"/>
  <c r="BF27" i="5"/>
  <c r="AZ8" i="5"/>
  <c r="BB8" i="5"/>
  <c r="BD8" i="5"/>
  <c r="BF8" i="5"/>
  <c r="AZ11" i="5"/>
  <c r="BB11" i="5"/>
  <c r="BD11" i="5"/>
  <c r="BF11" i="5"/>
  <c r="AX15" i="5"/>
  <c r="AZ15" i="5"/>
  <c r="BB15" i="5"/>
  <c r="BD15" i="5"/>
  <c r="BF15" i="5"/>
  <c r="BF22" i="5"/>
  <c r="AZ23" i="5"/>
  <c r="BD23" i="5"/>
  <c r="AX24" i="5"/>
  <c r="BB24" i="5"/>
  <c r="BF24" i="5"/>
  <c r="AZ25" i="5"/>
  <c r="BD25" i="5"/>
  <c r="AX26" i="5"/>
  <c r="BB26" i="5"/>
  <c r="BF26" i="5"/>
  <c r="AZ35" i="5"/>
  <c r="BD35" i="5"/>
  <c r="AY35" i="5"/>
  <c r="AY29" i="5"/>
  <c r="AY26" i="5"/>
  <c r="AY25" i="5"/>
  <c r="AY24" i="5"/>
  <c r="AY23" i="5"/>
  <c r="BA40" i="5"/>
  <c r="BA37" i="5"/>
  <c r="BA35" i="5"/>
  <c r="BA29" i="5"/>
  <c r="BA26" i="5"/>
  <c r="BA25" i="5"/>
  <c r="BA24" i="5"/>
  <c r="BA23" i="5"/>
  <c r="BC43" i="5"/>
  <c r="BC42" i="5"/>
  <c r="BC35" i="5"/>
  <c r="BC29" i="5"/>
  <c r="BC26" i="5"/>
  <c r="BC25" i="5"/>
  <c r="BC24" i="5"/>
  <c r="BC23" i="5"/>
  <c r="BE37" i="5"/>
  <c r="BE39" i="5"/>
  <c r="BE38" i="5"/>
  <c r="BE35" i="5"/>
  <c r="BE29" i="5"/>
  <c r="BE26" i="5"/>
  <c r="BE25" i="5"/>
  <c r="BE24" i="5"/>
  <c r="BE23" i="5"/>
  <c r="BE22" i="5"/>
  <c r="BG43" i="5"/>
  <c r="BG42" i="5"/>
  <c r="BG37" i="5"/>
  <c r="BG35" i="5"/>
  <c r="BG29" i="5"/>
  <c r="BG26" i="5"/>
  <c r="BG25" i="5"/>
  <c r="BG24" i="5"/>
  <c r="BG23" i="5"/>
  <c r="BG22" i="5"/>
  <c r="N63" i="5"/>
  <c r="AY8" i="5"/>
  <c r="BA8" i="5"/>
  <c r="BC8" i="5"/>
  <c r="BE8" i="5"/>
  <c r="BG8" i="5"/>
  <c r="AZ9" i="5"/>
  <c r="BB9" i="5"/>
  <c r="BD9" i="5"/>
  <c r="BF9" i="5"/>
  <c r="AX10" i="5"/>
  <c r="AZ10" i="5"/>
  <c r="BB10" i="5"/>
  <c r="BD10" i="5"/>
  <c r="BF10" i="5"/>
  <c r="AY11" i="5"/>
  <c r="BA11" i="5"/>
  <c r="BC11" i="5"/>
  <c r="BE11" i="5"/>
  <c r="BG11" i="5"/>
  <c r="AZ12" i="5"/>
  <c r="BB12" i="5"/>
  <c r="BD12" i="5"/>
  <c r="BF12" i="5"/>
  <c r="AX13" i="5"/>
  <c r="AZ13" i="5"/>
  <c r="BB13" i="5"/>
  <c r="BD13" i="5"/>
  <c r="BF13" i="5"/>
  <c r="AX14" i="5"/>
  <c r="AZ14" i="5"/>
  <c r="BB14" i="5"/>
  <c r="BD14" i="5"/>
  <c r="BF14" i="5"/>
  <c r="AY15" i="5"/>
  <c r="BA15" i="5"/>
  <c r="BC15" i="5"/>
  <c r="BE15" i="5"/>
  <c r="BG15" i="5"/>
  <c r="AX16" i="5"/>
  <c r="AZ16" i="5"/>
  <c r="BB16" i="5"/>
  <c r="BD16" i="5"/>
  <c r="BF16" i="5"/>
  <c r="AX17" i="5"/>
  <c r="AZ17" i="5"/>
  <c r="BB17" i="5"/>
  <c r="BD17" i="5"/>
  <c r="BF17" i="5"/>
  <c r="AX18" i="5"/>
  <c r="AZ18" i="5"/>
  <c r="BB18" i="5"/>
  <c r="BD18" i="5"/>
  <c r="BF18" i="5"/>
  <c r="AX19" i="5"/>
  <c r="AZ19" i="5"/>
  <c r="BB19" i="5"/>
  <c r="BD19" i="5"/>
  <c r="BF19" i="5"/>
  <c r="AX20" i="5"/>
  <c r="AZ20" i="5"/>
  <c r="BB20" i="5"/>
  <c r="BD20" i="5"/>
  <c r="BF20" i="5"/>
  <c r="AX21" i="5"/>
  <c r="AZ21" i="5"/>
  <c r="BB21" i="5"/>
  <c r="BD21" i="5"/>
  <c r="BF21" i="5"/>
  <c r="AX22" i="5"/>
  <c r="AZ22" i="5"/>
  <c r="BB22" i="5"/>
  <c r="BD22" i="5"/>
  <c r="AX23" i="5"/>
  <c r="BB23" i="5"/>
  <c r="BF23" i="5"/>
  <c r="AZ24" i="5"/>
  <c r="BD24" i="5"/>
  <c r="AX25" i="5"/>
  <c r="BB25" i="5"/>
  <c r="BF25" i="5"/>
  <c r="AZ26" i="5"/>
  <c r="BD26" i="5"/>
  <c r="BA27" i="5"/>
  <c r="BE27" i="5"/>
  <c r="AY28" i="5"/>
  <c r="BC28" i="5"/>
  <c r="BG28" i="5"/>
  <c r="AX29" i="5"/>
  <c r="BB29" i="5"/>
  <c r="BF29" i="5"/>
  <c r="AY30" i="5"/>
  <c r="BC30" i="5"/>
  <c r="BG30" i="5"/>
  <c r="BA31" i="5"/>
  <c r="BE31" i="5"/>
  <c r="AY32" i="5"/>
  <c r="BC32" i="5"/>
  <c r="BG32" i="5"/>
  <c r="BA33" i="5"/>
  <c r="BE33" i="5"/>
  <c r="AY34" i="5"/>
  <c r="BC34" i="5"/>
  <c r="BG34" i="5"/>
  <c r="BB35" i="5"/>
  <c r="BF35" i="5"/>
  <c r="AY36" i="5"/>
  <c r="BC36" i="5"/>
  <c r="BG36" i="5"/>
  <c r="BC37" i="5"/>
  <c r="BA39" i="5"/>
  <c r="BE40" i="5"/>
  <c r="BF41" i="5"/>
  <c r="BA42" i="5"/>
  <c r="BA43" i="5"/>
  <c r="G23" i="5"/>
  <c r="AE10" i="20"/>
  <c r="AG18" i="11"/>
  <c r="AG19" i="15"/>
  <c r="AE18" i="17"/>
  <c r="AE17" i="18"/>
  <c r="AI15" i="12"/>
  <c r="AE14" i="19"/>
  <c r="AK8" i="11"/>
  <c r="AG9" i="12"/>
  <c r="I53" i="5"/>
  <c r="AG16" i="14"/>
  <c r="C45" i="5"/>
  <c r="AE12" i="14"/>
  <c r="AE18" i="15"/>
  <c r="E53" i="5"/>
  <c r="P65" i="4"/>
  <c r="I6" i="2" s="1"/>
  <c r="R26" i="5"/>
  <c r="C26" i="5" s="1"/>
  <c r="R29" i="5"/>
  <c r="R36" i="5"/>
  <c r="R44" i="5"/>
  <c r="S47" i="5"/>
  <c r="S56" i="5"/>
  <c r="S58" i="5"/>
  <c r="S61" i="5"/>
  <c r="R62" i="5"/>
  <c r="AE21" i="15" s="1"/>
  <c r="R65" i="4"/>
  <c r="T65" i="4"/>
  <c r="I19" i="2" s="1"/>
  <c r="S15" i="5"/>
  <c r="AW15" i="5"/>
  <c r="R18" i="5"/>
  <c r="AW18" i="5"/>
  <c r="R22" i="5"/>
  <c r="R38" i="5"/>
  <c r="S39" i="5"/>
  <c r="AN44" i="5"/>
  <c r="S46" i="5"/>
  <c r="R49" i="5"/>
  <c r="R50" i="5"/>
  <c r="I50" i="5" s="1"/>
  <c r="R55" i="5"/>
  <c r="AG17" i="14" s="1"/>
  <c r="R59" i="5"/>
  <c r="I7" i="10"/>
  <c r="J9" i="10"/>
  <c r="J11" i="10"/>
  <c r="J13" i="10"/>
  <c r="I22" i="10"/>
  <c r="J36" i="10"/>
  <c r="J37" i="10"/>
  <c r="R8" i="5"/>
  <c r="R9" i="5"/>
  <c r="R10" i="5"/>
  <c r="R11" i="5"/>
  <c r="R12" i="5"/>
  <c r="R13" i="5"/>
  <c r="C13" i="5" s="1"/>
  <c r="R14" i="5"/>
  <c r="R16" i="5"/>
  <c r="R17" i="5"/>
  <c r="R19" i="5"/>
  <c r="R20" i="5"/>
  <c r="R21" i="5"/>
  <c r="R42" i="5"/>
  <c r="S42" i="5"/>
  <c r="AH8" i="4"/>
  <c r="AH12" i="4"/>
  <c r="R24" i="5"/>
  <c r="AW24" i="5"/>
  <c r="R25" i="5"/>
  <c r="AW25" i="5"/>
  <c r="S27" i="5"/>
  <c r="AW27" i="5"/>
  <c r="S28" i="5"/>
  <c r="AW28" i="5"/>
  <c r="S30" i="5"/>
  <c r="AW30" i="5"/>
  <c r="S31" i="5"/>
  <c r="AW31" i="5"/>
  <c r="S32" i="5"/>
  <c r="AW32" i="5"/>
  <c r="S33" i="5"/>
  <c r="AW33" i="5"/>
  <c r="S34" i="5"/>
  <c r="AW34" i="5"/>
  <c r="S35" i="5"/>
  <c r="AO35" i="5"/>
  <c r="R37" i="5"/>
  <c r="S38" i="5"/>
  <c r="W38" i="5" s="1"/>
  <c r="R39" i="5"/>
  <c r="R43" i="5"/>
  <c r="S43" i="5"/>
  <c r="I49" i="5"/>
  <c r="C49" i="5"/>
  <c r="A50" i="5"/>
  <c r="AG8" i="4"/>
  <c r="R40" i="5"/>
  <c r="J15" i="10"/>
  <c r="I21" i="10"/>
  <c r="I26" i="10"/>
  <c r="J29" i="10"/>
  <c r="J30" i="10"/>
  <c r="T31" i="10"/>
  <c r="J35" i="10"/>
  <c r="AD30" i="9"/>
  <c r="AD28" i="9"/>
  <c r="AD26" i="9"/>
  <c r="AD24" i="9"/>
  <c r="AD22" i="9"/>
  <c r="AD20" i="9"/>
  <c r="AD18" i="9"/>
  <c r="AD16" i="9"/>
  <c r="AD14" i="9"/>
  <c r="AD12" i="9"/>
  <c r="AD10" i="9"/>
  <c r="AM63" i="5"/>
  <c r="I43" i="2" s="1"/>
  <c r="AD31" i="9"/>
  <c r="AD29" i="9"/>
  <c r="AD27" i="9"/>
  <c r="AD25" i="9"/>
  <c r="AD23" i="9"/>
  <c r="AD21" i="9"/>
  <c r="AD19" i="9"/>
  <c r="AD17" i="9"/>
  <c r="AD15" i="9"/>
  <c r="AD13" i="9"/>
  <c r="AD11" i="9"/>
  <c r="AD9" i="9"/>
  <c r="AH10" i="4"/>
  <c r="U19" i="10"/>
  <c r="T29" i="10"/>
  <c r="T32" i="10"/>
  <c r="U7" i="10"/>
  <c r="U9" i="10"/>
  <c r="U11" i="10"/>
  <c r="U17" i="10"/>
  <c r="P40" i="10"/>
  <c r="P41" i="10" s="1"/>
  <c r="R40" i="10"/>
  <c r="R41" i="10" s="1"/>
  <c r="J8" i="10"/>
  <c r="I9" i="10"/>
  <c r="N9" i="10" s="1"/>
  <c r="J10" i="10"/>
  <c r="I11" i="10"/>
  <c r="K11" i="10" s="1"/>
  <c r="I13" i="10"/>
  <c r="N13" i="10" s="1"/>
  <c r="J14" i="10"/>
  <c r="N14" i="10" s="1"/>
  <c r="I15" i="10"/>
  <c r="U16" i="10"/>
  <c r="I17" i="10"/>
  <c r="N17" i="10" s="1"/>
  <c r="J18" i="10"/>
  <c r="I19" i="10"/>
  <c r="N19" i="10" s="1"/>
  <c r="T30" i="10"/>
  <c r="T33" i="10"/>
  <c r="N39" i="10"/>
  <c r="S8" i="10"/>
  <c r="S10" i="10"/>
  <c r="J12" i="10"/>
  <c r="U12" i="10"/>
  <c r="S12" i="10"/>
  <c r="Q40" i="10"/>
  <c r="Q41" i="10" s="1"/>
  <c r="J7" i="10"/>
  <c r="S7" i="10"/>
  <c r="I8" i="10"/>
  <c r="U8" i="10"/>
  <c r="S9" i="10"/>
  <c r="I10" i="10"/>
  <c r="U10" i="10"/>
  <c r="S11" i="10"/>
  <c r="I12" i="10"/>
  <c r="K13" i="10"/>
  <c r="S13" i="10"/>
  <c r="U13" i="10"/>
  <c r="S14" i="10"/>
  <c r="U14" i="10"/>
  <c r="K15" i="10"/>
  <c r="S15" i="10"/>
  <c r="U15" i="10"/>
  <c r="S16" i="10"/>
  <c r="S18" i="10"/>
  <c r="T7" i="10"/>
  <c r="T8" i="10"/>
  <c r="T9" i="10"/>
  <c r="T10" i="10"/>
  <c r="T11" i="10"/>
  <c r="T12" i="10"/>
  <c r="T13" i="10"/>
  <c r="T14" i="10"/>
  <c r="T15" i="10"/>
  <c r="J16" i="10"/>
  <c r="K16" i="10" s="1"/>
  <c r="S17" i="10"/>
  <c r="I18" i="10"/>
  <c r="U18" i="10"/>
  <c r="S19" i="10"/>
  <c r="T16" i="10"/>
  <c r="T17" i="10"/>
  <c r="T18" i="10"/>
  <c r="T19" i="10"/>
  <c r="J20" i="10"/>
  <c r="K20" i="10" s="1"/>
  <c r="T20" i="10"/>
  <c r="J21" i="10"/>
  <c r="T21" i="10"/>
  <c r="J22" i="10"/>
  <c r="T22" i="10"/>
  <c r="J23" i="10"/>
  <c r="K23" i="10" s="1"/>
  <c r="T23" i="10"/>
  <c r="J24" i="10"/>
  <c r="K24" i="10" s="1"/>
  <c r="T24" i="10"/>
  <c r="J25" i="10"/>
  <c r="N25" i="10" s="1"/>
  <c r="T25" i="10"/>
  <c r="J26" i="10"/>
  <c r="T26" i="10"/>
  <c r="J27" i="10"/>
  <c r="K27" i="10" s="1"/>
  <c r="T27" i="10"/>
  <c r="J28" i="10"/>
  <c r="K28" i="10" s="1"/>
  <c r="T28" i="10"/>
  <c r="U29" i="10"/>
  <c r="S29" i="10"/>
  <c r="I29" i="10"/>
  <c r="U32" i="10"/>
  <c r="S32" i="10"/>
  <c r="I32" i="10"/>
  <c r="S20" i="10"/>
  <c r="U20" i="10"/>
  <c r="S21" i="10"/>
  <c r="U21" i="10"/>
  <c r="S22" i="10"/>
  <c r="U22" i="10"/>
  <c r="S23" i="10"/>
  <c r="U23" i="10"/>
  <c r="S24" i="10"/>
  <c r="U24" i="10"/>
  <c r="S25" i="10"/>
  <c r="U25" i="10"/>
  <c r="S26" i="10"/>
  <c r="U26" i="10"/>
  <c r="S27" i="10"/>
  <c r="U27" i="10"/>
  <c r="S28" i="10"/>
  <c r="U28" i="10"/>
  <c r="U30" i="10"/>
  <c r="S30" i="10"/>
  <c r="I30" i="10"/>
  <c r="U31" i="10"/>
  <c r="S31" i="10"/>
  <c r="I31" i="10"/>
  <c r="U33" i="10"/>
  <c r="S33" i="10"/>
  <c r="I33" i="10"/>
  <c r="I34" i="10"/>
  <c r="S34" i="10"/>
  <c r="U34" i="10"/>
  <c r="I35" i="10"/>
  <c r="S35" i="10"/>
  <c r="U35" i="10"/>
  <c r="I36" i="10"/>
  <c r="S36" i="10"/>
  <c r="U36" i="10"/>
  <c r="I37" i="10"/>
  <c r="S37" i="10"/>
  <c r="U37" i="10"/>
  <c r="I38" i="10"/>
  <c r="S38" i="10"/>
  <c r="U38" i="10"/>
  <c r="K39" i="10"/>
  <c r="S39" i="10"/>
  <c r="U39" i="10"/>
  <c r="T34" i="10"/>
  <c r="T35" i="10"/>
  <c r="T36" i="10"/>
  <c r="T37" i="10"/>
  <c r="T38" i="10"/>
  <c r="T39" i="10"/>
  <c r="B323" i="9"/>
  <c r="B322" i="9"/>
  <c r="B321" i="9"/>
  <c r="B320" i="9"/>
  <c r="B319" i="9"/>
  <c r="B318" i="9"/>
  <c r="B317" i="9"/>
  <c r="B316" i="9"/>
  <c r="B315" i="9"/>
  <c r="B314" i="9"/>
  <c r="B313" i="9"/>
  <c r="B312" i="9"/>
  <c r="B311" i="9"/>
  <c r="B310" i="9"/>
  <c r="B309" i="9"/>
  <c r="B308" i="9"/>
  <c r="B307" i="9"/>
  <c r="B306" i="9"/>
  <c r="B305" i="9"/>
  <c r="B304" i="9"/>
  <c r="B303" i="9"/>
  <c r="B302" i="9"/>
  <c r="B301" i="9"/>
  <c r="B300" i="9"/>
  <c r="AB13" i="9"/>
  <c r="AB15" i="9"/>
  <c r="AA63" i="5"/>
  <c r="AC63" i="5"/>
  <c r="AE63" i="5"/>
  <c r="AG63" i="5"/>
  <c r="I36" i="2" s="1"/>
  <c r="AI63" i="5"/>
  <c r="AO8" i="5"/>
  <c r="AO9" i="5"/>
  <c r="AO11" i="5"/>
  <c r="AO12" i="5"/>
  <c r="AW10" i="5"/>
  <c r="AW13" i="5"/>
  <c r="AW14" i="5"/>
  <c r="AW16" i="5"/>
  <c r="AW17" i="5"/>
  <c r="AW19" i="5"/>
  <c r="AW20" i="5"/>
  <c r="AW21" i="5"/>
  <c r="AW22" i="5"/>
  <c r="AW23" i="5"/>
  <c r="AW26" i="5"/>
  <c r="AW29" i="5"/>
  <c r="AW36" i="5"/>
  <c r="AO7" i="5"/>
  <c r="AJ8" i="5"/>
  <c r="AN8" i="5"/>
  <c r="AP8" i="5"/>
  <c r="AX8" i="5"/>
  <c r="AW8" i="5" s="1"/>
  <c r="AJ9" i="5"/>
  <c r="AN9" i="5"/>
  <c r="AP9" i="5"/>
  <c r="AX9" i="5"/>
  <c r="AW9" i="5" s="1"/>
  <c r="C10" i="5"/>
  <c r="G10" i="5"/>
  <c r="I10" i="5"/>
  <c r="AJ11" i="5"/>
  <c r="AN11" i="5"/>
  <c r="AP11" i="5"/>
  <c r="AX11" i="5"/>
  <c r="AW11" i="5" s="1"/>
  <c r="AJ12" i="5"/>
  <c r="AN12" i="5"/>
  <c r="AP12" i="5"/>
  <c r="AX12" i="5"/>
  <c r="AW12" i="5" s="1"/>
  <c r="I13" i="5"/>
  <c r="R7" i="5"/>
  <c r="Z63" i="5"/>
  <c r="AB63" i="5"/>
  <c r="AD63" i="5"/>
  <c r="AF63" i="5"/>
  <c r="AH63" i="5"/>
  <c r="AJ7" i="5"/>
  <c r="AN7" i="5"/>
  <c r="AP7" i="5"/>
  <c r="AX7" i="5"/>
  <c r="AZ7" i="5"/>
  <c r="BB7" i="5"/>
  <c r="BD7" i="5"/>
  <c r="BF7" i="5"/>
  <c r="C8" i="5"/>
  <c r="E8" i="5"/>
  <c r="I8" i="5"/>
  <c r="S8" i="5"/>
  <c r="W8" i="5" s="1"/>
  <c r="S9" i="5"/>
  <c r="S10" i="5"/>
  <c r="T10" i="5" s="1"/>
  <c r="AO10" i="5"/>
  <c r="S11" i="5"/>
  <c r="T11" i="5" s="1"/>
  <c r="S12" i="5"/>
  <c r="W12" i="5" s="1"/>
  <c r="S13" i="5"/>
  <c r="T13" i="5" s="1"/>
  <c r="AO13" i="5"/>
  <c r="S14" i="5"/>
  <c r="T14" i="5" s="1"/>
  <c r="AO14" i="5"/>
  <c r="R15" i="5"/>
  <c r="AJ15" i="5"/>
  <c r="AN15" i="5"/>
  <c r="AP15" i="5"/>
  <c r="C16" i="5"/>
  <c r="S16" i="5"/>
  <c r="T16" i="5" s="1"/>
  <c r="AO16" i="5"/>
  <c r="S17" i="5"/>
  <c r="T17" i="5" s="1"/>
  <c r="AO17" i="5"/>
  <c r="S18" i="5"/>
  <c r="T18" i="5" s="1"/>
  <c r="AO18" i="5"/>
  <c r="S19" i="5"/>
  <c r="AO19" i="5"/>
  <c r="S20" i="5"/>
  <c r="T20" i="5" s="1"/>
  <c r="AO20" i="5"/>
  <c r="S21" i="5"/>
  <c r="AO21" i="5"/>
  <c r="S22" i="5"/>
  <c r="T22" i="5" s="1"/>
  <c r="AO22" i="5"/>
  <c r="S23" i="5"/>
  <c r="T23" i="5" s="1"/>
  <c r="AO23" i="5"/>
  <c r="S24" i="5"/>
  <c r="W24" i="5" s="1"/>
  <c r="AO24" i="5"/>
  <c r="S25" i="5"/>
  <c r="T25" i="5" s="1"/>
  <c r="AO25" i="5"/>
  <c r="S26" i="5"/>
  <c r="T26" i="5" s="1"/>
  <c r="AO26" i="5"/>
  <c r="R27" i="5"/>
  <c r="AJ27" i="5"/>
  <c r="AN27" i="5"/>
  <c r="AP27" i="5"/>
  <c r="R28" i="5"/>
  <c r="AJ28" i="5"/>
  <c r="AN28" i="5"/>
  <c r="AP28" i="5"/>
  <c r="G29" i="5"/>
  <c r="I29" i="5"/>
  <c r="S29" i="5"/>
  <c r="T29" i="5" s="1"/>
  <c r="AO29" i="5"/>
  <c r="R30" i="5"/>
  <c r="AJ30" i="5"/>
  <c r="AN30" i="5"/>
  <c r="AP30" i="5"/>
  <c r="R31" i="5"/>
  <c r="AJ31" i="5"/>
  <c r="AN31" i="5"/>
  <c r="AP31" i="5"/>
  <c r="R32" i="5"/>
  <c r="AJ32" i="5"/>
  <c r="AN32" i="5"/>
  <c r="AP32" i="5"/>
  <c r="R33" i="5"/>
  <c r="AJ33" i="5"/>
  <c r="AN33" i="5"/>
  <c r="AP33" i="5"/>
  <c r="R34" i="5"/>
  <c r="AJ34" i="5"/>
  <c r="AN34" i="5"/>
  <c r="AP34" i="5"/>
  <c r="R35" i="5"/>
  <c r="AJ35" i="5"/>
  <c r="AN35" i="5"/>
  <c r="AP35" i="5"/>
  <c r="AX35" i="5"/>
  <c r="AW35" i="5" s="1"/>
  <c r="C36" i="5"/>
  <c r="G36" i="5"/>
  <c r="I36" i="5"/>
  <c r="S36" i="5"/>
  <c r="T36" i="5" s="1"/>
  <c r="AO36" i="5"/>
  <c r="S37" i="5"/>
  <c r="T37" i="5" s="1"/>
  <c r="AO37" i="5"/>
  <c r="AX38" i="5"/>
  <c r="AZ38" i="5"/>
  <c r="BB38" i="5"/>
  <c r="BD38" i="5"/>
  <c r="BF38" i="5"/>
  <c r="AO38" i="5"/>
  <c r="AY38" i="5"/>
  <c r="BC38" i="5"/>
  <c r="BG38" i="5"/>
  <c r="AX39" i="5"/>
  <c r="AZ39" i="5"/>
  <c r="BB39" i="5"/>
  <c r="BD39" i="5"/>
  <c r="BF39" i="5"/>
  <c r="AO39" i="5"/>
  <c r="AY39" i="5"/>
  <c r="BC39" i="5"/>
  <c r="BG39" i="5"/>
  <c r="AX40" i="5"/>
  <c r="AZ40" i="5"/>
  <c r="BB40" i="5"/>
  <c r="BD40" i="5"/>
  <c r="BF40" i="5"/>
  <c r="AO40" i="5"/>
  <c r="AY40" i="5"/>
  <c r="BC40" i="5"/>
  <c r="BG40" i="5"/>
  <c r="I41" i="5"/>
  <c r="G41" i="5"/>
  <c r="C41" i="5"/>
  <c r="A41" i="5"/>
  <c r="AO41" i="5"/>
  <c r="S41" i="5"/>
  <c r="W41" i="5" s="1"/>
  <c r="AJ41" i="5"/>
  <c r="AK41" i="5" s="1"/>
  <c r="AP41" i="5"/>
  <c r="T42" i="5"/>
  <c r="T43" i="5"/>
  <c r="I43" i="5"/>
  <c r="G43" i="5"/>
  <c r="AY44" i="5"/>
  <c r="BA44" i="5"/>
  <c r="BC44" i="5"/>
  <c r="BE44" i="5"/>
  <c r="BG44" i="5"/>
  <c r="AX45" i="5"/>
  <c r="AP45" i="5"/>
  <c r="AN45" i="5"/>
  <c r="AO45" i="5"/>
  <c r="S45" i="5"/>
  <c r="W45" i="5" s="1"/>
  <c r="AZ45" i="5"/>
  <c r="BB45" i="5"/>
  <c r="BD45" i="5"/>
  <c r="BF45" i="5"/>
  <c r="AJ45" i="5"/>
  <c r="AK45" i="5" s="1"/>
  <c r="AY46" i="5"/>
  <c r="BA46" i="5"/>
  <c r="BC46" i="5"/>
  <c r="BE46" i="5"/>
  <c r="BG46" i="5"/>
  <c r="AY47" i="5"/>
  <c r="BA47" i="5"/>
  <c r="BC47" i="5"/>
  <c r="BE47" i="5"/>
  <c r="BG47" i="5"/>
  <c r="AX48" i="5"/>
  <c r="AZ48" i="5"/>
  <c r="BB48" i="5"/>
  <c r="BD48" i="5"/>
  <c r="BF48" i="5"/>
  <c r="AY49" i="5"/>
  <c r="BA49" i="5"/>
  <c r="BC49" i="5"/>
  <c r="BE49" i="5"/>
  <c r="BG49" i="5"/>
  <c r="AY50" i="5"/>
  <c r="BA50" i="5"/>
  <c r="BC50" i="5"/>
  <c r="BE50" i="5"/>
  <c r="BG50" i="5"/>
  <c r="AX51" i="5"/>
  <c r="AZ51" i="5"/>
  <c r="BB51" i="5"/>
  <c r="BD51" i="5"/>
  <c r="BF51" i="5"/>
  <c r="AY52" i="5"/>
  <c r="BA52" i="5"/>
  <c r="BC52" i="5"/>
  <c r="BE52" i="5"/>
  <c r="BG52" i="5"/>
  <c r="AY53" i="5"/>
  <c r="BA53" i="5"/>
  <c r="BC53" i="5"/>
  <c r="BE53" i="5"/>
  <c r="BG53" i="5"/>
  <c r="AX54" i="5"/>
  <c r="AZ54" i="5"/>
  <c r="BB54" i="5"/>
  <c r="BD54" i="5"/>
  <c r="BF54" i="5"/>
  <c r="AY55" i="5"/>
  <c r="BA55" i="5"/>
  <c r="BC55" i="5"/>
  <c r="BE55" i="5"/>
  <c r="BG55" i="5"/>
  <c r="AX56" i="5"/>
  <c r="AZ56" i="5"/>
  <c r="BB56" i="5"/>
  <c r="BD56" i="5"/>
  <c r="BF56" i="5"/>
  <c r="AX57" i="5"/>
  <c r="AZ57" i="5"/>
  <c r="BB57" i="5"/>
  <c r="BD57" i="5"/>
  <c r="BF57" i="5"/>
  <c r="AX58" i="5"/>
  <c r="AZ58" i="5"/>
  <c r="BB58" i="5"/>
  <c r="BD58" i="5"/>
  <c r="BF58" i="5"/>
  <c r="AY59" i="5"/>
  <c r="BA59" i="5"/>
  <c r="BC59" i="5"/>
  <c r="BE59" i="5"/>
  <c r="BG59" i="5"/>
  <c r="AX60" i="5"/>
  <c r="AZ60" i="5"/>
  <c r="BB60" i="5"/>
  <c r="BD60" i="5"/>
  <c r="BF60" i="5"/>
  <c r="AX61" i="5"/>
  <c r="AZ61" i="5"/>
  <c r="BB61" i="5"/>
  <c r="BD61" i="5"/>
  <c r="BF61" i="5"/>
  <c r="AY62" i="5"/>
  <c r="BA62" i="5"/>
  <c r="BC62" i="5"/>
  <c r="BE62" i="5"/>
  <c r="BG62" i="5"/>
  <c r="AY7" i="5"/>
  <c r="BA7" i="5"/>
  <c r="BC7" i="5"/>
  <c r="BE7" i="5"/>
  <c r="BG7" i="5"/>
  <c r="AJ10" i="5"/>
  <c r="AN10" i="5"/>
  <c r="AP10" i="5"/>
  <c r="C11" i="5"/>
  <c r="G11" i="5"/>
  <c r="I11" i="5"/>
  <c r="AJ13" i="5"/>
  <c r="AN13" i="5"/>
  <c r="AP13" i="5"/>
  <c r="AJ14" i="5"/>
  <c r="AN14" i="5"/>
  <c r="AP14" i="5"/>
  <c r="AO15" i="5"/>
  <c r="AJ16" i="5"/>
  <c r="AN16" i="5"/>
  <c r="AP16" i="5"/>
  <c r="AJ17" i="5"/>
  <c r="AN17" i="5"/>
  <c r="AP17" i="5"/>
  <c r="AJ18" i="5"/>
  <c r="AN18" i="5"/>
  <c r="AP18" i="5"/>
  <c r="AJ19" i="5"/>
  <c r="AN19" i="5"/>
  <c r="AP19" i="5"/>
  <c r="AJ20" i="5"/>
  <c r="AN20" i="5"/>
  <c r="AP20" i="5"/>
  <c r="AJ21" i="5"/>
  <c r="AN21" i="5"/>
  <c r="AP21" i="5"/>
  <c r="AJ22" i="5"/>
  <c r="AN22" i="5"/>
  <c r="AP22" i="5"/>
  <c r="AJ23" i="5"/>
  <c r="AN23" i="5"/>
  <c r="AP23" i="5"/>
  <c r="AJ24" i="5"/>
  <c r="AN24" i="5"/>
  <c r="AP24" i="5"/>
  <c r="AJ25" i="5"/>
  <c r="AN25" i="5"/>
  <c r="AP25" i="5"/>
  <c r="AJ26" i="5"/>
  <c r="AN26" i="5"/>
  <c r="AP26" i="5"/>
  <c r="AO27" i="5"/>
  <c r="AO28" i="5"/>
  <c r="AJ29" i="5"/>
  <c r="AN29" i="5"/>
  <c r="AP29" i="5"/>
  <c r="AO30" i="5"/>
  <c r="AO31" i="5"/>
  <c r="AO32" i="5"/>
  <c r="AO33" i="5"/>
  <c r="AO34" i="5"/>
  <c r="AJ36" i="5"/>
  <c r="AN36" i="5"/>
  <c r="AP36" i="5"/>
  <c r="AZ37" i="5"/>
  <c r="BB37" i="5"/>
  <c r="BD37" i="5"/>
  <c r="BF37" i="5"/>
  <c r="AJ37" i="5"/>
  <c r="AN37" i="5"/>
  <c r="AP37" i="5"/>
  <c r="T38" i="5"/>
  <c r="I38" i="5"/>
  <c r="G38" i="5"/>
  <c r="C38" i="5"/>
  <c r="A38" i="5"/>
  <c r="T39" i="5"/>
  <c r="I39" i="5"/>
  <c r="G39" i="5"/>
  <c r="C39" i="5"/>
  <c r="A39" i="5"/>
  <c r="T40" i="5"/>
  <c r="I40" i="5"/>
  <c r="G40" i="5"/>
  <c r="C40" i="5"/>
  <c r="A40" i="5"/>
  <c r="AY41" i="5"/>
  <c r="BA41" i="5"/>
  <c r="BC41" i="5"/>
  <c r="BE41" i="5"/>
  <c r="BG41" i="5"/>
  <c r="AN41" i="5"/>
  <c r="AX41" i="5"/>
  <c r="G42" i="5"/>
  <c r="W42" i="5"/>
  <c r="AX42" i="5"/>
  <c r="AZ42" i="5"/>
  <c r="BB42" i="5"/>
  <c r="BD42" i="5"/>
  <c r="BF42" i="5"/>
  <c r="AO42" i="5"/>
  <c r="AY42" i="5"/>
  <c r="W43" i="5"/>
  <c r="AX43" i="5"/>
  <c r="AZ43" i="5"/>
  <c r="BB43" i="5"/>
  <c r="BD43" i="5"/>
  <c r="BF43" i="5"/>
  <c r="AO43" i="5"/>
  <c r="AY43" i="5"/>
  <c r="I44" i="5"/>
  <c r="G44" i="5"/>
  <c r="C44" i="5"/>
  <c r="A44" i="5"/>
  <c r="AO44" i="5"/>
  <c r="S44" i="5"/>
  <c r="T44" i="5" s="1"/>
  <c r="AJ44" i="5"/>
  <c r="AK44" i="5" s="1"/>
  <c r="AP44" i="5"/>
  <c r="A45" i="5"/>
  <c r="E45" i="5"/>
  <c r="I45" i="5"/>
  <c r="AY45" i="5"/>
  <c r="BA45" i="5"/>
  <c r="BC45" i="5"/>
  <c r="BE45" i="5"/>
  <c r="BG45" i="5"/>
  <c r="AX46" i="5"/>
  <c r="AZ46" i="5"/>
  <c r="BB46" i="5"/>
  <c r="BD46" i="5"/>
  <c r="BF46" i="5"/>
  <c r="AX47" i="5"/>
  <c r="AZ47" i="5"/>
  <c r="BB47" i="5"/>
  <c r="BD47" i="5"/>
  <c r="BF47" i="5"/>
  <c r="AY48" i="5"/>
  <c r="BA48" i="5"/>
  <c r="BC48" i="5"/>
  <c r="BE48" i="5"/>
  <c r="BG48" i="5"/>
  <c r="AX49" i="5"/>
  <c r="AZ49" i="5"/>
  <c r="BB49" i="5"/>
  <c r="BD49" i="5"/>
  <c r="BF49" i="5"/>
  <c r="AX50" i="5"/>
  <c r="AZ50" i="5"/>
  <c r="BB50" i="5"/>
  <c r="BD50" i="5"/>
  <c r="BF50" i="5"/>
  <c r="AY51" i="5"/>
  <c r="BA51" i="5"/>
  <c r="BC51" i="5"/>
  <c r="BE51" i="5"/>
  <c r="BG51" i="5"/>
  <c r="AX52" i="5"/>
  <c r="AZ52" i="5"/>
  <c r="BB52" i="5"/>
  <c r="BD52" i="5"/>
  <c r="BF52" i="5"/>
  <c r="AX53" i="5"/>
  <c r="AZ53" i="5"/>
  <c r="BB53" i="5"/>
  <c r="BD53" i="5"/>
  <c r="BF53" i="5"/>
  <c r="AY54" i="5"/>
  <c r="BA54" i="5"/>
  <c r="BC54" i="5"/>
  <c r="BE54" i="5"/>
  <c r="BG54" i="5"/>
  <c r="AX55" i="5"/>
  <c r="AZ55" i="5"/>
  <c r="BB55" i="5"/>
  <c r="BD55" i="5"/>
  <c r="BF55" i="5"/>
  <c r="AY56" i="5"/>
  <c r="BA56" i="5"/>
  <c r="BC56" i="5"/>
  <c r="BE56" i="5"/>
  <c r="BG56" i="5"/>
  <c r="AY57" i="5"/>
  <c r="BA57" i="5"/>
  <c r="BC57" i="5"/>
  <c r="BE57" i="5"/>
  <c r="BG57" i="5"/>
  <c r="AY58" i="5"/>
  <c r="BA58" i="5"/>
  <c r="BC58" i="5"/>
  <c r="BE58" i="5"/>
  <c r="BG58" i="5"/>
  <c r="AX59" i="5"/>
  <c r="AZ59" i="5"/>
  <c r="BB59" i="5"/>
  <c r="BD59" i="5"/>
  <c r="BF59" i="5"/>
  <c r="AY60" i="5"/>
  <c r="BA60" i="5"/>
  <c r="BC60" i="5"/>
  <c r="BE60" i="5"/>
  <c r="BG60" i="5"/>
  <c r="AY61" i="5"/>
  <c r="BA61" i="5"/>
  <c r="BC61" i="5"/>
  <c r="BE61" i="5"/>
  <c r="BG61" i="5"/>
  <c r="AX62" i="5"/>
  <c r="AZ62" i="5"/>
  <c r="BB62" i="5"/>
  <c r="BD62" i="5"/>
  <c r="BF62" i="5"/>
  <c r="AJ38" i="5"/>
  <c r="AN38" i="5"/>
  <c r="AP38" i="5"/>
  <c r="AJ39" i="5"/>
  <c r="AN39" i="5"/>
  <c r="AP39" i="5"/>
  <c r="AJ40" i="5"/>
  <c r="AN40" i="5"/>
  <c r="AP40" i="5"/>
  <c r="AJ42" i="5"/>
  <c r="AK42" i="5" s="1"/>
  <c r="AN42" i="5"/>
  <c r="AP42" i="5"/>
  <c r="AJ43" i="5"/>
  <c r="AK43" i="5" s="1"/>
  <c r="AN43" i="5"/>
  <c r="AP43" i="5"/>
  <c r="R46" i="5"/>
  <c r="AE8" i="11" s="1"/>
  <c r="AJ46" i="5"/>
  <c r="AK46" i="5" s="1"/>
  <c r="AN46" i="5"/>
  <c r="AP46" i="5"/>
  <c r="R47" i="5"/>
  <c r="AG10" i="20" s="1"/>
  <c r="AJ47" i="5"/>
  <c r="AK47" i="5" s="1"/>
  <c r="AN47" i="5"/>
  <c r="AP47" i="5"/>
  <c r="A48" i="5"/>
  <c r="C48" i="5"/>
  <c r="E48" i="5"/>
  <c r="I48" i="5"/>
  <c r="S48" i="5"/>
  <c r="W48" i="5" s="1"/>
  <c r="AO48" i="5"/>
  <c r="S49" i="5"/>
  <c r="T49" i="5" s="1"/>
  <c r="AO49" i="5"/>
  <c r="S50" i="5"/>
  <c r="T50" i="5" s="1"/>
  <c r="AO50" i="5"/>
  <c r="R51" i="5"/>
  <c r="AG14" i="16" s="1"/>
  <c r="AJ51" i="5"/>
  <c r="AK51" i="5" s="1"/>
  <c r="AN51" i="5"/>
  <c r="AP51" i="5"/>
  <c r="C52" i="5"/>
  <c r="E52" i="5"/>
  <c r="I52" i="5"/>
  <c r="S52" i="5"/>
  <c r="T52" i="5" s="1"/>
  <c r="AO52" i="5"/>
  <c r="S53" i="5"/>
  <c r="W53" i="5" s="1"/>
  <c r="AO53" i="5"/>
  <c r="R54" i="5"/>
  <c r="AE17" i="14" s="1"/>
  <c r="AD17" i="14" s="1"/>
  <c r="AJ54" i="5"/>
  <c r="AK54" i="5" s="1"/>
  <c r="AN54" i="5"/>
  <c r="AP54" i="5"/>
  <c r="A55" i="5"/>
  <c r="C55" i="5"/>
  <c r="G55" i="5"/>
  <c r="I55" i="5"/>
  <c r="S55" i="5"/>
  <c r="T55" i="5" s="1"/>
  <c r="AO55" i="5"/>
  <c r="R56" i="5"/>
  <c r="AJ56" i="5"/>
  <c r="AK56" i="5" s="1"/>
  <c r="AN56" i="5"/>
  <c r="AP56" i="5"/>
  <c r="R57" i="5"/>
  <c r="AK18" i="17" s="1"/>
  <c r="AJ57" i="5"/>
  <c r="AK57" i="5" s="1"/>
  <c r="AN57" i="5"/>
  <c r="AP57" i="5"/>
  <c r="R58" i="5"/>
  <c r="AE19" i="19" s="1"/>
  <c r="AJ58" i="5"/>
  <c r="AK58" i="5" s="1"/>
  <c r="AN58" i="5"/>
  <c r="AP58" i="5"/>
  <c r="S59" i="5"/>
  <c r="T59" i="5" s="1"/>
  <c r="AO59" i="5"/>
  <c r="R60" i="5"/>
  <c r="AG19" i="17" s="1"/>
  <c r="AJ60" i="5"/>
  <c r="AK60" i="5" s="1"/>
  <c r="AN60" i="5"/>
  <c r="AP60" i="5"/>
  <c r="R61" i="5"/>
  <c r="AG19" i="11" s="1"/>
  <c r="AJ61" i="5"/>
  <c r="AK61" i="5" s="1"/>
  <c r="AN61" i="5"/>
  <c r="AP61" i="5"/>
  <c r="A62" i="5"/>
  <c r="C62" i="5"/>
  <c r="G62" i="5"/>
  <c r="I62" i="5"/>
  <c r="S62" i="5"/>
  <c r="W62" i="5" s="1"/>
  <c r="AO62" i="5"/>
  <c r="AO46" i="5"/>
  <c r="AO47" i="5"/>
  <c r="AJ48" i="5"/>
  <c r="AK48" i="5" s="1"/>
  <c r="AN48" i="5"/>
  <c r="AP48" i="5"/>
  <c r="AJ49" i="5"/>
  <c r="AK49" i="5" s="1"/>
  <c r="AN49" i="5"/>
  <c r="AP49" i="5"/>
  <c r="AJ50" i="5"/>
  <c r="AK50" i="5" s="1"/>
  <c r="AN50" i="5"/>
  <c r="AP50" i="5"/>
  <c r="AO51" i="5"/>
  <c r="AJ52" i="5"/>
  <c r="AK52" i="5" s="1"/>
  <c r="AN52" i="5"/>
  <c r="AP52" i="5"/>
  <c r="AJ53" i="5"/>
  <c r="AK53" i="5" s="1"/>
  <c r="AN53" i="5"/>
  <c r="AP53" i="5"/>
  <c r="AO54" i="5"/>
  <c r="AJ55" i="5"/>
  <c r="AK55" i="5" s="1"/>
  <c r="AN55" i="5"/>
  <c r="AP55" i="5"/>
  <c r="AO56" i="5"/>
  <c r="AO57" i="5"/>
  <c r="AO58" i="5"/>
  <c r="AJ59" i="5"/>
  <c r="AK59" i="5" s="1"/>
  <c r="AN59" i="5"/>
  <c r="AP59" i="5"/>
  <c r="AO60" i="5"/>
  <c r="AO61" i="5"/>
  <c r="AJ62" i="5"/>
  <c r="AK62" i="5" s="1"/>
  <c r="AN62" i="5"/>
  <c r="AP62" i="5"/>
  <c r="AH34" i="4"/>
  <c r="AH35" i="4"/>
  <c r="AH36" i="4"/>
  <c r="AG37" i="4"/>
  <c r="AG11" i="4"/>
  <c r="X65" i="4"/>
  <c r="Z65" i="4"/>
  <c r="I35" i="2" s="1"/>
  <c r="AB65" i="4"/>
  <c r="I39" i="2" s="1"/>
  <c r="AH11" i="4"/>
  <c r="AG35" i="4"/>
  <c r="AH37" i="4"/>
  <c r="AH38" i="4"/>
  <c r="AH63" i="4"/>
  <c r="AH61" i="4"/>
  <c r="AH59" i="4"/>
  <c r="AH57" i="4"/>
  <c r="AH55" i="4"/>
  <c r="AH53" i="4"/>
  <c r="Q65" i="4"/>
  <c r="S65" i="4"/>
  <c r="U65" i="4"/>
  <c r="W65" i="4"/>
  <c r="Y65" i="4"/>
  <c r="AA65" i="4"/>
  <c r="I37" i="2" s="1"/>
  <c r="AC65" i="4"/>
  <c r="I41" i="2" s="1"/>
  <c r="AH9" i="4"/>
  <c r="AG10" i="4"/>
  <c r="AG12" i="4"/>
  <c r="AH13" i="4"/>
  <c r="AG14" i="4"/>
  <c r="AH15" i="4"/>
  <c r="AG16" i="4"/>
  <c r="AH17" i="4"/>
  <c r="AG18" i="4"/>
  <c r="AH19" i="4"/>
  <c r="AG20" i="4"/>
  <c r="AH21" i="4"/>
  <c r="AG22" i="4"/>
  <c r="AH23" i="4"/>
  <c r="AG24" i="4"/>
  <c r="AH25" i="4"/>
  <c r="AG26" i="4"/>
  <c r="AH27" i="4"/>
  <c r="AG28" i="4"/>
  <c r="AH29" i="4"/>
  <c r="AG30" i="4"/>
  <c r="AH31" i="4"/>
  <c r="AG32" i="4"/>
  <c r="AH33" i="4"/>
  <c r="AG34" i="4"/>
  <c r="AG36" i="4"/>
  <c r="AG38" i="4"/>
  <c r="AG39" i="4"/>
  <c r="AG41" i="4"/>
  <c r="AG43" i="4"/>
  <c r="AH45" i="4"/>
  <c r="AH46" i="4"/>
  <c r="AH47" i="4"/>
  <c r="AH48" i="4"/>
  <c r="AG49" i="4"/>
  <c r="AG51" i="4"/>
  <c r="AG64" i="4"/>
  <c r="AG62" i="4"/>
  <c r="AG60" i="4"/>
  <c r="AG58" i="4"/>
  <c r="AG56" i="4"/>
  <c r="AG54" i="4"/>
  <c r="AG9" i="4"/>
  <c r="AG13" i="4"/>
  <c r="AH14" i="4"/>
  <c r="AG15" i="4"/>
  <c r="AH16" i="4"/>
  <c r="AG17" i="4"/>
  <c r="AH18" i="4"/>
  <c r="AG19" i="4"/>
  <c r="AH20" i="4"/>
  <c r="AG21" i="4"/>
  <c r="AH22" i="4"/>
  <c r="AG23" i="4"/>
  <c r="AH24" i="4"/>
  <c r="AG25" i="4"/>
  <c r="AH26" i="4"/>
  <c r="AG27" i="4"/>
  <c r="AH28" i="4"/>
  <c r="AG29" i="4"/>
  <c r="AH30" i="4"/>
  <c r="AG31" i="4"/>
  <c r="AH32" i="4"/>
  <c r="AG33" i="4"/>
  <c r="AH39" i="4"/>
  <c r="AH40" i="4"/>
  <c r="AH41" i="4"/>
  <c r="AH42" i="4"/>
  <c r="AH43" i="4"/>
  <c r="AH44" i="4"/>
  <c r="AG45" i="4"/>
  <c r="AG47" i="4"/>
  <c r="AH49" i="4"/>
  <c r="AH50" i="4"/>
  <c r="AH51" i="4"/>
  <c r="AH52" i="4"/>
  <c r="AG40" i="4"/>
  <c r="AG42" i="4"/>
  <c r="AG44" i="4"/>
  <c r="AG46" i="4"/>
  <c r="AG48" i="4"/>
  <c r="AG50" i="4"/>
  <c r="AG52" i="4"/>
  <c r="AG53" i="4"/>
  <c r="AH56" i="4"/>
  <c r="AH58" i="4"/>
  <c r="AH54" i="4"/>
  <c r="AG55" i="4"/>
  <c r="AG57" i="4"/>
  <c r="AG59" i="4"/>
  <c r="AH60" i="4"/>
  <c r="AG61" i="4"/>
  <c r="AH62" i="4"/>
  <c r="AG63" i="4"/>
  <c r="AH64" i="4"/>
  <c r="T45" i="5" l="1"/>
  <c r="T41" i="5"/>
  <c r="K26" i="10"/>
  <c r="N22" i="10"/>
  <c r="K14" i="10"/>
  <c r="K9" i="10"/>
  <c r="K7" i="10"/>
  <c r="N15" i="10"/>
  <c r="Y66" i="4"/>
  <c r="I33" i="2"/>
  <c r="U66" i="4"/>
  <c r="I25" i="2"/>
  <c r="Q66" i="4"/>
  <c r="I10" i="2"/>
  <c r="R66" i="4"/>
  <c r="I11" i="2"/>
  <c r="W66" i="4"/>
  <c r="I29" i="2"/>
  <c r="S66" i="4"/>
  <c r="I17" i="2"/>
  <c r="X66" i="4"/>
  <c r="I31" i="2"/>
  <c r="C50" i="5"/>
  <c r="AE64" i="5"/>
  <c r="I30" i="2"/>
  <c r="AD64" i="5"/>
  <c r="I28" i="2"/>
  <c r="AC64" i="5"/>
  <c r="I22" i="2"/>
  <c r="AB64" i="5"/>
  <c r="I18" i="2"/>
  <c r="AA64" i="5"/>
  <c r="I12" i="2"/>
  <c r="Z64" i="5"/>
  <c r="I7" i="2"/>
  <c r="AI64" i="5"/>
  <c r="I42" i="2"/>
  <c r="AH64" i="5"/>
  <c r="I40" i="2"/>
  <c r="AF64" i="5"/>
  <c r="I34" i="2"/>
  <c r="AE15" i="13"/>
  <c r="AE21" i="11"/>
  <c r="AE15" i="15"/>
  <c r="AE20" i="14"/>
  <c r="AE15" i="20"/>
  <c r="AK13" i="13"/>
  <c r="AK9" i="17"/>
  <c r="AG8" i="18"/>
  <c r="AG14" i="11"/>
  <c r="AG14" i="13"/>
  <c r="AG14" i="14"/>
  <c r="AG15" i="17"/>
  <c r="AG16" i="11"/>
  <c r="AG20" i="15"/>
  <c r="AG18" i="14"/>
  <c r="AG9" i="19"/>
  <c r="AG16" i="20"/>
  <c r="AE17" i="11"/>
  <c r="AG8" i="19"/>
  <c r="AE9" i="18"/>
  <c r="AE12" i="15"/>
  <c r="AE13" i="12"/>
  <c r="AE8" i="14"/>
  <c r="AE8" i="15"/>
  <c r="AE9" i="16"/>
  <c r="AG13" i="12"/>
  <c r="AE9" i="19"/>
  <c r="AE16" i="20"/>
  <c r="AE16" i="11"/>
  <c r="AD16" i="11" s="1"/>
  <c r="AG18" i="13"/>
  <c r="AG21" i="15"/>
  <c r="AD21" i="15" s="1"/>
  <c r="AG14" i="19"/>
  <c r="AD14" i="19" s="1"/>
  <c r="AI16" i="16"/>
  <c r="AG17" i="18"/>
  <c r="AG16" i="13"/>
  <c r="AE18" i="14"/>
  <c r="AE20" i="15"/>
  <c r="AI18" i="17"/>
  <c r="AD18" i="17" s="1"/>
  <c r="AE16" i="18"/>
  <c r="AE8" i="20"/>
  <c r="AE12" i="11"/>
  <c r="AE17" i="12"/>
  <c r="AE19" i="14"/>
  <c r="AE10" i="17"/>
  <c r="AE16" i="15"/>
  <c r="AE13" i="16"/>
  <c r="W39" i="5"/>
  <c r="AG12" i="19"/>
  <c r="AG13" i="18"/>
  <c r="AG11" i="11"/>
  <c r="AE9" i="17"/>
  <c r="AE19" i="11"/>
  <c r="AD19" i="11" s="1"/>
  <c r="AE8" i="19"/>
  <c r="AD8" i="19" s="1"/>
  <c r="AE18" i="16"/>
  <c r="AE19" i="15"/>
  <c r="AD19" i="15" s="1"/>
  <c r="AE19" i="17"/>
  <c r="AD19" i="17" s="1"/>
  <c r="AE13" i="13"/>
  <c r="AE18" i="11"/>
  <c r="AD18" i="11" s="1"/>
  <c r="AE15" i="12"/>
  <c r="AG13" i="19"/>
  <c r="AE22" i="14"/>
  <c r="AE12" i="20"/>
  <c r="AE17" i="15"/>
  <c r="AE15" i="17"/>
  <c r="AD15" i="17" s="1"/>
  <c r="AE14" i="11"/>
  <c r="AD14" i="11" s="1"/>
  <c r="AE14" i="13"/>
  <c r="AD14" i="13" s="1"/>
  <c r="AE14" i="14"/>
  <c r="AD14" i="14" s="1"/>
  <c r="AG14" i="15"/>
  <c r="AE10" i="11"/>
  <c r="AE11" i="12"/>
  <c r="AG11" i="14"/>
  <c r="AG10" i="16"/>
  <c r="AE11" i="20"/>
  <c r="AG16" i="15"/>
  <c r="AG13" i="16"/>
  <c r="AG17" i="12"/>
  <c r="AG10" i="17"/>
  <c r="AG12" i="11"/>
  <c r="AE18" i="13"/>
  <c r="AG19" i="14"/>
  <c r="AG16" i="18"/>
  <c r="G16" i="5"/>
  <c r="AG16" i="19"/>
  <c r="AE14" i="12"/>
  <c r="AI13" i="13"/>
  <c r="AE17" i="17"/>
  <c r="AE12" i="18"/>
  <c r="AE11" i="14"/>
  <c r="AG17" i="15"/>
  <c r="AE11" i="16"/>
  <c r="G13" i="5"/>
  <c r="AE12" i="12"/>
  <c r="AE13" i="15"/>
  <c r="AE13" i="17"/>
  <c r="AG13" i="11"/>
  <c r="AE17" i="19"/>
  <c r="AE10" i="13"/>
  <c r="AE15" i="14"/>
  <c r="AE15" i="18"/>
  <c r="AE19" i="16"/>
  <c r="AG11" i="15"/>
  <c r="AG12" i="13"/>
  <c r="AG8" i="17"/>
  <c r="AG15" i="11"/>
  <c r="AG17" i="16"/>
  <c r="AG9" i="20"/>
  <c r="AG18" i="12"/>
  <c r="AG13" i="14"/>
  <c r="AG15" i="19"/>
  <c r="AG10" i="18"/>
  <c r="AG10" i="11"/>
  <c r="AE11" i="17"/>
  <c r="AG11" i="12"/>
  <c r="AG9" i="16"/>
  <c r="AG11" i="20"/>
  <c r="AG8" i="14"/>
  <c r="AG8" i="15"/>
  <c r="AE8" i="13"/>
  <c r="E59" i="5"/>
  <c r="AG19" i="19"/>
  <c r="AD19" i="19" s="1"/>
  <c r="G50" i="5"/>
  <c r="AE14" i="20"/>
  <c r="AG11" i="16"/>
  <c r="AG17" i="17"/>
  <c r="AG16" i="17"/>
  <c r="AG15" i="16"/>
  <c r="AG21" i="14"/>
  <c r="AG10" i="12"/>
  <c r="AG17" i="13"/>
  <c r="AG14" i="18"/>
  <c r="AD17" i="18"/>
  <c r="AD10" i="20"/>
  <c r="AG22" i="14"/>
  <c r="AG18" i="16"/>
  <c r="W40" i="5"/>
  <c r="AG9" i="18"/>
  <c r="AG17" i="11"/>
  <c r="AG12" i="15"/>
  <c r="AG14" i="12"/>
  <c r="AG11" i="19"/>
  <c r="I42" i="5"/>
  <c r="AE14" i="16"/>
  <c r="AD14" i="16" s="1"/>
  <c r="AE9" i="13"/>
  <c r="AE16" i="12"/>
  <c r="AE16" i="16"/>
  <c r="AE20" i="11"/>
  <c r="AE19" i="13"/>
  <c r="AE10" i="15"/>
  <c r="AE10" i="14"/>
  <c r="AE18" i="19"/>
  <c r="AE13" i="20"/>
  <c r="AG15" i="18"/>
  <c r="AG19" i="16"/>
  <c r="AG10" i="13"/>
  <c r="AG15" i="14"/>
  <c r="AG13" i="15"/>
  <c r="AG17" i="19"/>
  <c r="AG12" i="12"/>
  <c r="AG13" i="17"/>
  <c r="AG20" i="11"/>
  <c r="AG18" i="19"/>
  <c r="AG10" i="15"/>
  <c r="AG13" i="20"/>
  <c r="AG16" i="12"/>
  <c r="AG10" i="14"/>
  <c r="AG19" i="13"/>
  <c r="AK16" i="16"/>
  <c r="AG12" i="18"/>
  <c r="AE10" i="16"/>
  <c r="AE8" i="18"/>
  <c r="AD8" i="18" s="1"/>
  <c r="AI8" i="11"/>
  <c r="AD8" i="11" s="1"/>
  <c r="AK15" i="12"/>
  <c r="AE11" i="19"/>
  <c r="AG9" i="13"/>
  <c r="AE14" i="17"/>
  <c r="AD14" i="17" s="1"/>
  <c r="AE14" i="15"/>
  <c r="AD14" i="15" s="1"/>
  <c r="AE11" i="15"/>
  <c r="AD11" i="15" s="1"/>
  <c r="AE18" i="12"/>
  <c r="AE15" i="11"/>
  <c r="AE15" i="19"/>
  <c r="AE10" i="18"/>
  <c r="AE12" i="13"/>
  <c r="AD12" i="13" s="1"/>
  <c r="AE8" i="17"/>
  <c r="AD8" i="17" s="1"/>
  <c r="AE13" i="14"/>
  <c r="AD13" i="14" s="1"/>
  <c r="AE17" i="16"/>
  <c r="AD17" i="16" s="1"/>
  <c r="AE9" i="20"/>
  <c r="AD9" i="20" s="1"/>
  <c r="AE9" i="15"/>
  <c r="AE11" i="13"/>
  <c r="AE8" i="16"/>
  <c r="AE9" i="11"/>
  <c r="AE8" i="12"/>
  <c r="AE12" i="17"/>
  <c r="AE11" i="18"/>
  <c r="AE9" i="14"/>
  <c r="AE10" i="19"/>
  <c r="G49" i="5"/>
  <c r="AE13" i="11"/>
  <c r="AD13" i="11" s="1"/>
  <c r="AE11" i="11"/>
  <c r="AD11" i="11" s="1"/>
  <c r="AE13" i="18"/>
  <c r="AD13" i="18" s="1"/>
  <c r="AE12" i="19"/>
  <c r="AD12" i="19" s="1"/>
  <c r="AI9" i="17"/>
  <c r="AE9" i="12"/>
  <c r="AD9" i="12" s="1"/>
  <c r="AE16" i="13"/>
  <c r="AD16" i="13" s="1"/>
  <c r="AE16" i="14"/>
  <c r="AD16" i="14" s="1"/>
  <c r="AG12" i="16"/>
  <c r="AD12" i="16" s="1"/>
  <c r="AE16" i="19"/>
  <c r="G18" i="5"/>
  <c r="AE13" i="19"/>
  <c r="AD13" i="19" s="1"/>
  <c r="AE10" i="12"/>
  <c r="AE14" i="18"/>
  <c r="AD14" i="18" s="1"/>
  <c r="AE16" i="17"/>
  <c r="AD16" i="17" s="1"/>
  <c r="AG12" i="20"/>
  <c r="AE21" i="14"/>
  <c r="AD21" i="14" s="1"/>
  <c r="AE17" i="13"/>
  <c r="AE15" i="16"/>
  <c r="AG15" i="20"/>
  <c r="AG20" i="14"/>
  <c r="AG15" i="13"/>
  <c r="AG15" i="15"/>
  <c r="AG21" i="11"/>
  <c r="AG18" i="15"/>
  <c r="AD18" i="15" s="1"/>
  <c r="AG8" i="13"/>
  <c r="AG12" i="14"/>
  <c r="AD12" i="14" s="1"/>
  <c r="AG14" i="20"/>
  <c r="AG11" i="17"/>
  <c r="AG9" i="15"/>
  <c r="AG9" i="14"/>
  <c r="AG11" i="18"/>
  <c r="AG9" i="11"/>
  <c r="AG11" i="13"/>
  <c r="AG8" i="16"/>
  <c r="AG12" i="17"/>
  <c r="AG10" i="19"/>
  <c r="AG8" i="12"/>
  <c r="AG8" i="20"/>
  <c r="P66" i="4"/>
  <c r="T24" i="5"/>
  <c r="T21" i="5"/>
  <c r="T19" i="5"/>
  <c r="W16" i="5"/>
  <c r="W9" i="5"/>
  <c r="K22" i="10"/>
  <c r="N11" i="10"/>
  <c r="G26" i="5"/>
  <c r="I26" i="5"/>
  <c r="W55" i="5"/>
  <c r="W37" i="5"/>
  <c r="W20" i="5"/>
  <c r="W10" i="5"/>
  <c r="K21" i="10"/>
  <c r="N26" i="10"/>
  <c r="G22" i="5"/>
  <c r="I22" i="5"/>
  <c r="AW37" i="5"/>
  <c r="I37" i="5"/>
  <c r="C37" i="5"/>
  <c r="E37" i="5"/>
  <c r="I25" i="5"/>
  <c r="G25" i="5"/>
  <c r="I24" i="5"/>
  <c r="C24" i="5"/>
  <c r="G24" i="5"/>
  <c r="G21" i="5"/>
  <c r="A21" i="5"/>
  <c r="I21" i="5"/>
  <c r="C21" i="5"/>
  <c r="G19" i="5"/>
  <c r="I19" i="5"/>
  <c r="C19" i="5"/>
  <c r="G9" i="5"/>
  <c r="A9" i="5"/>
  <c r="I9" i="5"/>
  <c r="C9" i="5"/>
  <c r="W59" i="5"/>
  <c r="W52" i="5"/>
  <c r="W49" i="5"/>
  <c r="AW41" i="5"/>
  <c r="AW44" i="5"/>
  <c r="W26" i="5"/>
  <c r="W22" i="5"/>
  <c r="W18" i="5"/>
  <c r="W13" i="5"/>
  <c r="G20" i="5"/>
  <c r="I20" i="5"/>
  <c r="G17" i="5"/>
  <c r="A17" i="5"/>
  <c r="I17" i="5"/>
  <c r="C17" i="5"/>
  <c r="G14" i="5"/>
  <c r="I14" i="5"/>
  <c r="G12" i="5"/>
  <c r="I12" i="5"/>
  <c r="N28" i="10"/>
  <c r="N24" i="10"/>
  <c r="K19" i="10"/>
  <c r="K17" i="10"/>
  <c r="U40" i="10"/>
  <c r="K33" i="10"/>
  <c r="N33" i="10"/>
  <c r="K31" i="10"/>
  <c r="N31" i="10"/>
  <c r="K29" i="10"/>
  <c r="N29" i="10"/>
  <c r="N20" i="10"/>
  <c r="N18" i="10"/>
  <c r="K18" i="10"/>
  <c r="K25" i="10"/>
  <c r="N16" i="10"/>
  <c r="N12" i="10"/>
  <c r="K12" i="10"/>
  <c r="N10" i="10"/>
  <c r="K10" i="10"/>
  <c r="N8" i="10"/>
  <c r="K8" i="10"/>
  <c r="N7" i="10"/>
  <c r="N38" i="10"/>
  <c r="K38" i="10"/>
  <c r="N37" i="10"/>
  <c r="K37" i="10"/>
  <c r="N36" i="10"/>
  <c r="K36" i="10"/>
  <c r="N35" i="10"/>
  <c r="K35" i="10"/>
  <c r="N34" i="10"/>
  <c r="K34" i="10"/>
  <c r="K30" i="10"/>
  <c r="N30" i="10"/>
  <c r="K32" i="10"/>
  <c r="N32" i="10"/>
  <c r="N27" i="10"/>
  <c r="N23" i="10"/>
  <c r="N21" i="10"/>
  <c r="T40" i="10"/>
  <c r="L14" i="10"/>
  <c r="L9" i="10"/>
  <c r="W61" i="5"/>
  <c r="T61" i="5"/>
  <c r="I61" i="5"/>
  <c r="G61" i="5"/>
  <c r="A61" i="5"/>
  <c r="W60" i="5"/>
  <c r="I60" i="5"/>
  <c r="G60" i="5"/>
  <c r="C60" i="5"/>
  <c r="A60" i="5"/>
  <c r="T60" i="5"/>
  <c r="W58" i="5"/>
  <c r="T58" i="5"/>
  <c r="E58" i="5"/>
  <c r="W57" i="5"/>
  <c r="T57" i="5"/>
  <c r="G57" i="5"/>
  <c r="C57" i="5"/>
  <c r="A57" i="5"/>
  <c r="W56" i="5"/>
  <c r="I56" i="5"/>
  <c r="G56" i="5"/>
  <c r="A56" i="5"/>
  <c r="T56" i="5"/>
  <c r="W47" i="5"/>
  <c r="T47" i="5"/>
  <c r="I47" i="5"/>
  <c r="E47" i="5"/>
  <c r="C47" i="5"/>
  <c r="A47" i="5"/>
  <c r="W46" i="5"/>
  <c r="I46" i="5"/>
  <c r="E46" i="5"/>
  <c r="C46" i="5"/>
  <c r="T46" i="5"/>
  <c r="T62" i="5"/>
  <c r="AW55" i="5"/>
  <c r="T53" i="5"/>
  <c r="AW50" i="5"/>
  <c r="AW49" i="5"/>
  <c r="AW46" i="5"/>
  <c r="W44" i="5"/>
  <c r="AW61" i="5"/>
  <c r="AW57" i="5"/>
  <c r="AW51" i="5"/>
  <c r="T48" i="5"/>
  <c r="AW45" i="5"/>
  <c r="AW40" i="5"/>
  <c r="AW39" i="5"/>
  <c r="AW38" i="5"/>
  <c r="W28" i="5"/>
  <c r="T28" i="5"/>
  <c r="I28" i="5"/>
  <c r="G28" i="5"/>
  <c r="C28" i="5"/>
  <c r="A28" i="5"/>
  <c r="W27" i="5"/>
  <c r="I27" i="5"/>
  <c r="E27" i="5"/>
  <c r="C27" i="5"/>
  <c r="A27" i="5"/>
  <c r="T27" i="5"/>
  <c r="AW7" i="5"/>
  <c r="T7" i="5"/>
  <c r="I7" i="5"/>
  <c r="G7" i="5"/>
  <c r="C7" i="5"/>
  <c r="W7" i="5"/>
  <c r="T12" i="5"/>
  <c r="T9" i="5"/>
  <c r="W54" i="5"/>
  <c r="I54" i="5"/>
  <c r="G54" i="5"/>
  <c r="C54" i="5"/>
  <c r="A54" i="5"/>
  <c r="T54" i="5"/>
  <c r="W51" i="5"/>
  <c r="I51" i="5"/>
  <c r="G51" i="5"/>
  <c r="C51" i="5"/>
  <c r="A51" i="5"/>
  <c r="T51" i="5"/>
  <c r="W50" i="5"/>
  <c r="AW62" i="5"/>
  <c r="AW59" i="5"/>
  <c r="AW53" i="5"/>
  <c r="AW52" i="5"/>
  <c r="AW47" i="5"/>
  <c r="AW43" i="5"/>
  <c r="AW42" i="5"/>
  <c r="AW60" i="5"/>
  <c r="AW58" i="5"/>
  <c r="AW56" i="5"/>
  <c r="AW54" i="5"/>
  <c r="AW48" i="5"/>
  <c r="W36" i="5"/>
  <c r="W35" i="5"/>
  <c r="T35" i="5"/>
  <c r="I35" i="5"/>
  <c r="G35" i="5"/>
  <c r="A35" i="5"/>
  <c r="W34" i="5"/>
  <c r="T34" i="5"/>
  <c r="I34" i="5"/>
  <c r="G34" i="5"/>
  <c r="W33" i="5"/>
  <c r="T33" i="5"/>
  <c r="I33" i="5"/>
  <c r="E33" i="5"/>
  <c r="C33" i="5"/>
  <c r="W32" i="5"/>
  <c r="T32" i="5"/>
  <c r="I32" i="5"/>
  <c r="G32" i="5"/>
  <c r="C32" i="5"/>
  <c r="A32" i="5"/>
  <c r="W31" i="5"/>
  <c r="T31" i="5"/>
  <c r="I31" i="5"/>
  <c r="G31" i="5"/>
  <c r="C31" i="5"/>
  <c r="A31" i="5"/>
  <c r="W30" i="5"/>
  <c r="I30" i="5"/>
  <c r="G30" i="5"/>
  <c r="C30" i="5"/>
  <c r="A30" i="5"/>
  <c r="T30" i="5"/>
  <c r="W29" i="5"/>
  <c r="W25" i="5"/>
  <c r="W23" i="5"/>
  <c r="W21" i="5"/>
  <c r="W19" i="5"/>
  <c r="W17" i="5"/>
  <c r="W15" i="5"/>
  <c r="I15" i="5"/>
  <c r="G15" i="5"/>
  <c r="C15" i="5"/>
  <c r="T15" i="5"/>
  <c r="W14" i="5"/>
  <c r="W11" i="5"/>
  <c r="T8" i="5"/>
  <c r="O21" i="10" l="1"/>
  <c r="L32" i="10"/>
  <c r="O14" i="10"/>
  <c r="L17" i="10"/>
  <c r="L11" i="10"/>
  <c r="L13" i="10"/>
  <c r="L15" i="10"/>
  <c r="AD17" i="13"/>
  <c r="AD16" i="19"/>
  <c r="AD15" i="19"/>
  <c r="AD18" i="12"/>
  <c r="AD10" i="19"/>
  <c r="AD8" i="16"/>
  <c r="AD8" i="20"/>
  <c r="AD10" i="18"/>
  <c r="AD15" i="11"/>
  <c r="AD10" i="16"/>
  <c r="AD8" i="12"/>
  <c r="AD11" i="18"/>
  <c r="AD9" i="15"/>
  <c r="AD11" i="14"/>
  <c r="AD18" i="14"/>
  <c r="AD16" i="20"/>
  <c r="AD18" i="13"/>
  <c r="AD9" i="11"/>
  <c r="AD9" i="14"/>
  <c r="AD12" i="17"/>
  <c r="AD11" i="13"/>
  <c r="AD15" i="16"/>
  <c r="AD10" i="12"/>
  <c r="AD11" i="19"/>
  <c r="AD20" i="15"/>
  <c r="AD9" i="19"/>
  <c r="AD18" i="19"/>
  <c r="AD10" i="15"/>
  <c r="AD20" i="11"/>
  <c r="AD16" i="12"/>
  <c r="AD15" i="18"/>
  <c r="AD10" i="13"/>
  <c r="AD13" i="15"/>
  <c r="AD12" i="18"/>
  <c r="AD11" i="20"/>
  <c r="AD10" i="11"/>
  <c r="AD17" i="15"/>
  <c r="AD22" i="14"/>
  <c r="AD15" i="12"/>
  <c r="AD13" i="13"/>
  <c r="AD9" i="17"/>
  <c r="AD16" i="15"/>
  <c r="AD19" i="14"/>
  <c r="AD12" i="11"/>
  <c r="AD16" i="18"/>
  <c r="AD9" i="16"/>
  <c r="AD8" i="14"/>
  <c r="AD12" i="15"/>
  <c r="AD15" i="20"/>
  <c r="AD15" i="15"/>
  <c r="AD15" i="13"/>
  <c r="AD13" i="20"/>
  <c r="AD10" i="14"/>
  <c r="AD19" i="13"/>
  <c r="AD16" i="16"/>
  <c r="AD9" i="13"/>
  <c r="AD14" i="20"/>
  <c r="AD8" i="13"/>
  <c r="AD11" i="17"/>
  <c r="AD19" i="16"/>
  <c r="AD15" i="14"/>
  <c r="AD17" i="19"/>
  <c r="AD13" i="17"/>
  <c r="AD12" i="12"/>
  <c r="AD11" i="16"/>
  <c r="AD17" i="17"/>
  <c r="AD14" i="12"/>
  <c r="AD11" i="12"/>
  <c r="AD12" i="20"/>
  <c r="AD18" i="16"/>
  <c r="AD13" i="16"/>
  <c r="AD10" i="17"/>
  <c r="AD17" i="12"/>
  <c r="AD8" i="15"/>
  <c r="AD13" i="12"/>
  <c r="AD9" i="18"/>
  <c r="AD17" i="11"/>
  <c r="AD20" i="14"/>
  <c r="AD21" i="11"/>
  <c r="X11" i="5"/>
  <c r="L27" i="10"/>
  <c r="B27" i="10" s="1"/>
  <c r="O27" i="10"/>
  <c r="L30" i="10"/>
  <c r="O34" i="10"/>
  <c r="O35" i="10"/>
  <c r="O36" i="10"/>
  <c r="O37" i="10"/>
  <c r="O38" i="10"/>
  <c r="O7" i="10"/>
  <c r="O9" i="10"/>
  <c r="O15" i="10"/>
  <c r="O19" i="10"/>
  <c r="O11" i="10"/>
  <c r="O13" i="10"/>
  <c r="O17" i="10"/>
  <c r="O39" i="10"/>
  <c r="O8" i="10"/>
  <c r="O10" i="10"/>
  <c r="O12" i="10"/>
  <c r="L25" i="10"/>
  <c r="O18" i="10"/>
  <c r="O20" i="10"/>
  <c r="O24" i="10"/>
  <c r="O28" i="10"/>
  <c r="L29" i="10"/>
  <c r="L31" i="10"/>
  <c r="L33" i="10"/>
  <c r="L20" i="10"/>
  <c r="L22" i="10"/>
  <c r="L26" i="10"/>
  <c r="L23" i="10"/>
  <c r="O23" i="10"/>
  <c r="O32" i="10"/>
  <c r="O30" i="10"/>
  <c r="L34" i="10"/>
  <c r="L35" i="10"/>
  <c r="L36" i="10"/>
  <c r="L37" i="10"/>
  <c r="L38" i="10"/>
  <c r="L39" i="10"/>
  <c r="L8" i="10"/>
  <c r="L10" i="10"/>
  <c r="L12" i="10"/>
  <c r="O16" i="10"/>
  <c r="L18" i="10"/>
  <c r="L19" i="10"/>
  <c r="O22" i="10"/>
  <c r="O26" i="10"/>
  <c r="O29" i="10"/>
  <c r="O31" i="10"/>
  <c r="O33" i="10"/>
  <c r="L16" i="10"/>
  <c r="L21" i="10"/>
  <c r="O25" i="10"/>
  <c r="L7" i="10"/>
  <c r="L24" i="10"/>
  <c r="L28" i="10"/>
  <c r="U8" i="5"/>
  <c r="X14" i="5"/>
  <c r="X15" i="5"/>
  <c r="X19" i="5"/>
  <c r="X23" i="5"/>
  <c r="X29" i="5"/>
  <c r="X30" i="5"/>
  <c r="X31" i="5"/>
  <c r="X32" i="5"/>
  <c r="X33" i="5"/>
  <c r="X34" i="5"/>
  <c r="X35" i="5"/>
  <c r="U43" i="5"/>
  <c r="U39" i="5"/>
  <c r="U51" i="5"/>
  <c r="U54" i="5"/>
  <c r="U9" i="5"/>
  <c r="U12" i="5"/>
  <c r="U7" i="5"/>
  <c r="X10" i="5"/>
  <c r="X18" i="5"/>
  <c r="X22" i="5"/>
  <c r="X26" i="5"/>
  <c r="X27" i="5"/>
  <c r="X28" i="5"/>
  <c r="U42" i="5"/>
  <c r="U48" i="5"/>
  <c r="U40" i="5"/>
  <c r="X43" i="5"/>
  <c r="U44" i="5"/>
  <c r="X46" i="5"/>
  <c r="X47" i="5"/>
  <c r="U56" i="5"/>
  <c r="U57" i="5"/>
  <c r="U58" i="5"/>
  <c r="X59" i="5"/>
  <c r="X60" i="5"/>
  <c r="X61" i="5"/>
  <c r="U11" i="5"/>
  <c r="U17" i="5"/>
  <c r="U21" i="5"/>
  <c r="U25" i="5"/>
  <c r="X41" i="5"/>
  <c r="X48" i="5"/>
  <c r="U52" i="5"/>
  <c r="X8" i="5"/>
  <c r="X12" i="5"/>
  <c r="U16" i="5"/>
  <c r="U20" i="5"/>
  <c r="U24" i="5"/>
  <c r="U36" i="5"/>
  <c r="U50" i="5"/>
  <c r="U55" i="5"/>
  <c r="J8" i="5"/>
  <c r="H8" i="5"/>
  <c r="F8" i="5"/>
  <c r="D8" i="5"/>
  <c r="B8" i="5"/>
  <c r="U15" i="5"/>
  <c r="X17" i="5"/>
  <c r="X21" i="5"/>
  <c r="X25" i="5"/>
  <c r="U30" i="5"/>
  <c r="U31" i="5"/>
  <c r="U32" i="5"/>
  <c r="U33" i="5"/>
  <c r="U34" i="5"/>
  <c r="U35" i="5"/>
  <c r="X36" i="5"/>
  <c r="U41" i="5"/>
  <c r="X50" i="5"/>
  <c r="X51" i="5"/>
  <c r="X54" i="5"/>
  <c r="X7" i="5"/>
  <c r="X39" i="5"/>
  <c r="X40" i="5"/>
  <c r="X38" i="5"/>
  <c r="X13" i="5"/>
  <c r="X16" i="5"/>
  <c r="X20" i="5"/>
  <c r="X24" i="5"/>
  <c r="U27" i="5"/>
  <c r="U28" i="5"/>
  <c r="X37" i="5"/>
  <c r="U38" i="5"/>
  <c r="X42" i="5"/>
  <c r="X44" i="5"/>
  <c r="U45" i="5"/>
  <c r="U53" i="5"/>
  <c r="U62" i="5"/>
  <c r="U46" i="5"/>
  <c r="U47" i="5"/>
  <c r="X49" i="5"/>
  <c r="X52" i="5"/>
  <c r="X55" i="5"/>
  <c r="X56" i="5"/>
  <c r="X57" i="5"/>
  <c r="X58" i="5"/>
  <c r="U60" i="5"/>
  <c r="U61" i="5"/>
  <c r="X9" i="5"/>
  <c r="U13" i="5"/>
  <c r="U18" i="5"/>
  <c r="U22" i="5"/>
  <c r="U26" i="5"/>
  <c r="X45" i="5"/>
  <c r="U49" i="5"/>
  <c r="U59" i="5"/>
  <c r="U10" i="5"/>
  <c r="U14" i="5"/>
  <c r="U19" i="5"/>
  <c r="U23" i="5"/>
  <c r="U29" i="5"/>
  <c r="U37" i="5"/>
  <c r="X53" i="5"/>
  <c r="X62" i="5"/>
  <c r="E28" i="10" l="1"/>
  <c r="E7" i="10"/>
  <c r="E24" i="10"/>
  <c r="E16" i="10"/>
  <c r="E19" i="10"/>
  <c r="E10" i="10"/>
  <c r="E39" i="10"/>
  <c r="E37" i="10"/>
  <c r="E35" i="10"/>
  <c r="E15" i="10"/>
  <c r="E11" i="10"/>
  <c r="E26" i="10"/>
  <c r="E20" i="10"/>
  <c r="B31" i="10"/>
  <c r="E31" i="10"/>
  <c r="E25" i="10"/>
  <c r="E32" i="10"/>
  <c r="E14" i="10"/>
  <c r="E27" i="10"/>
  <c r="B21" i="10"/>
  <c r="E21" i="10"/>
  <c r="E18" i="10"/>
  <c r="E12" i="10"/>
  <c r="E8" i="10"/>
  <c r="E38" i="10"/>
  <c r="B38" i="10"/>
  <c r="E36" i="10"/>
  <c r="B34" i="10"/>
  <c r="A34" i="10" s="1"/>
  <c r="E34" i="10"/>
  <c r="E17" i="10"/>
  <c r="E13" i="10"/>
  <c r="D23" i="10"/>
  <c r="C23" i="10" s="1"/>
  <c r="C40" i="10" s="1"/>
  <c r="E23" i="10"/>
  <c r="E22" i="10"/>
  <c r="E33" i="10"/>
  <c r="E29" i="10"/>
  <c r="E30" i="10"/>
  <c r="E9" i="10"/>
  <c r="Y14" i="5"/>
  <c r="AK14" i="5" s="1"/>
  <c r="Y62" i="5"/>
  <c r="K37" i="5"/>
  <c r="J37" i="5"/>
  <c r="H37" i="5"/>
  <c r="F37" i="5"/>
  <c r="D37" i="5"/>
  <c r="B37" i="5"/>
  <c r="K23" i="5"/>
  <c r="J23" i="5"/>
  <c r="H23" i="5"/>
  <c r="F23" i="5"/>
  <c r="D23" i="5"/>
  <c r="B23" i="5"/>
  <c r="K14" i="5"/>
  <c r="J14" i="5"/>
  <c r="H14" i="5"/>
  <c r="F14" i="5"/>
  <c r="D14" i="5"/>
  <c r="B14" i="5"/>
  <c r="K59" i="5"/>
  <c r="AL59" i="5" s="1"/>
  <c r="B59" i="5"/>
  <c r="J59" i="5"/>
  <c r="H59" i="5"/>
  <c r="F59" i="5"/>
  <c r="D59" i="5"/>
  <c r="Y45" i="5"/>
  <c r="K22" i="5"/>
  <c r="J22" i="5"/>
  <c r="H22" i="5"/>
  <c r="F22" i="5"/>
  <c r="D22" i="5"/>
  <c r="B22" i="5"/>
  <c r="J13" i="5"/>
  <c r="H13" i="5"/>
  <c r="F13" i="5"/>
  <c r="D13" i="5"/>
  <c r="B13" i="5"/>
  <c r="K13" i="5"/>
  <c r="J61" i="5"/>
  <c r="H61" i="5"/>
  <c r="F61" i="5"/>
  <c r="D61" i="5"/>
  <c r="B61" i="5"/>
  <c r="K61" i="5"/>
  <c r="AL61" i="5" s="1"/>
  <c r="Y58" i="5"/>
  <c r="Y56" i="5"/>
  <c r="Y52" i="5"/>
  <c r="J47" i="5"/>
  <c r="H47" i="5"/>
  <c r="F47" i="5"/>
  <c r="D47" i="5"/>
  <c r="B47" i="5"/>
  <c r="K47" i="5"/>
  <c r="AL47" i="5" s="1"/>
  <c r="J62" i="5"/>
  <c r="H62" i="5"/>
  <c r="F62" i="5"/>
  <c r="D62" i="5"/>
  <c r="B62" i="5"/>
  <c r="K62" i="5"/>
  <c r="AL62" i="5" s="1"/>
  <c r="J45" i="5"/>
  <c r="H45" i="5"/>
  <c r="F45" i="5"/>
  <c r="D45" i="5"/>
  <c r="B45" i="5"/>
  <c r="K45" i="5"/>
  <c r="AL45" i="5" s="1"/>
  <c r="Y42" i="5"/>
  <c r="Y37" i="5"/>
  <c r="AK37" i="5" s="1"/>
  <c r="J27" i="5"/>
  <c r="H27" i="5"/>
  <c r="F27" i="5"/>
  <c r="D27" i="5"/>
  <c r="B27" i="5"/>
  <c r="K27" i="5"/>
  <c r="Y20" i="5"/>
  <c r="AK20" i="5" s="1"/>
  <c r="Y13" i="5"/>
  <c r="AK13" i="5" s="1"/>
  <c r="Y38" i="5"/>
  <c r="AK38" i="5" s="1"/>
  <c r="Y39" i="5"/>
  <c r="AK39" i="5" s="1"/>
  <c r="Y51" i="5"/>
  <c r="J41" i="5"/>
  <c r="F41" i="5"/>
  <c r="B41" i="5"/>
  <c r="H41" i="5"/>
  <c r="D41" i="5"/>
  <c r="K41" i="5"/>
  <c r="AL41" i="5" s="1"/>
  <c r="J35" i="5"/>
  <c r="H35" i="5"/>
  <c r="F35" i="5"/>
  <c r="D35" i="5"/>
  <c r="B35" i="5"/>
  <c r="K35" i="5"/>
  <c r="J33" i="5"/>
  <c r="H33" i="5"/>
  <c r="F33" i="5"/>
  <c r="D33" i="5"/>
  <c r="B33" i="5"/>
  <c r="K33" i="5"/>
  <c r="J31" i="5"/>
  <c r="H31" i="5"/>
  <c r="F31" i="5"/>
  <c r="D31" i="5"/>
  <c r="B31" i="5"/>
  <c r="K31" i="5"/>
  <c r="Y25" i="5"/>
  <c r="AK25" i="5" s="1"/>
  <c r="Y17" i="5"/>
  <c r="AK17" i="5" s="1"/>
  <c r="Y11" i="5"/>
  <c r="AK11" i="5" s="1"/>
  <c r="J55" i="5"/>
  <c r="H55" i="5"/>
  <c r="F55" i="5"/>
  <c r="D55" i="5"/>
  <c r="B55" i="5"/>
  <c r="K55" i="5"/>
  <c r="AL55" i="5" s="1"/>
  <c r="J36" i="5"/>
  <c r="H36" i="5"/>
  <c r="F36" i="5"/>
  <c r="D36" i="5"/>
  <c r="B36" i="5"/>
  <c r="K36" i="5"/>
  <c r="K20" i="5"/>
  <c r="J20" i="5"/>
  <c r="H20" i="5"/>
  <c r="F20" i="5"/>
  <c r="D20" i="5"/>
  <c r="B20" i="5"/>
  <c r="Y12" i="5"/>
  <c r="AK12" i="5" s="1"/>
  <c r="J52" i="5"/>
  <c r="H52" i="5"/>
  <c r="F52" i="5"/>
  <c r="D52" i="5"/>
  <c r="B52" i="5"/>
  <c r="K52" i="5"/>
  <c r="AL52" i="5" s="1"/>
  <c r="Y41" i="5"/>
  <c r="K21" i="5"/>
  <c r="J21" i="5"/>
  <c r="H21" i="5"/>
  <c r="F21" i="5"/>
  <c r="D21" i="5"/>
  <c r="B21" i="5"/>
  <c r="J11" i="5"/>
  <c r="H11" i="5"/>
  <c r="F11" i="5"/>
  <c r="D11" i="5"/>
  <c r="B11" i="5"/>
  <c r="K11" i="5"/>
  <c r="Y60" i="5"/>
  <c r="J58" i="5"/>
  <c r="H58" i="5"/>
  <c r="F58" i="5"/>
  <c r="D58" i="5"/>
  <c r="B58" i="5"/>
  <c r="K58" i="5"/>
  <c r="AL58" i="5" s="1"/>
  <c r="J56" i="5"/>
  <c r="H56" i="5"/>
  <c r="F56" i="5"/>
  <c r="D56" i="5"/>
  <c r="B56" i="5"/>
  <c r="K56" i="5"/>
  <c r="AL56" i="5" s="1"/>
  <c r="Y46" i="5"/>
  <c r="H44" i="5"/>
  <c r="D44" i="5"/>
  <c r="J44" i="5"/>
  <c r="F44" i="5"/>
  <c r="B44" i="5"/>
  <c r="K44" i="5"/>
  <c r="AL44" i="5" s="1"/>
  <c r="J40" i="5"/>
  <c r="B40" i="5"/>
  <c r="H40" i="5"/>
  <c r="D40" i="5"/>
  <c r="F40" i="5"/>
  <c r="K40" i="5"/>
  <c r="J42" i="5"/>
  <c r="H42" i="5"/>
  <c r="F42" i="5"/>
  <c r="D42" i="5"/>
  <c r="B42" i="5"/>
  <c r="K42" i="5"/>
  <c r="AL42" i="5" s="1"/>
  <c r="Y27" i="5"/>
  <c r="AK27" i="5" s="1"/>
  <c r="Y22" i="5"/>
  <c r="AK22" i="5" s="1"/>
  <c r="Y10" i="5"/>
  <c r="AK10" i="5" s="1"/>
  <c r="J7" i="5"/>
  <c r="H7" i="5"/>
  <c r="F7" i="5"/>
  <c r="D7" i="5"/>
  <c r="B7" i="5"/>
  <c r="K7" i="5"/>
  <c r="J12" i="5"/>
  <c r="H12" i="5"/>
  <c r="F12" i="5"/>
  <c r="D12" i="5"/>
  <c r="B12" i="5"/>
  <c r="K12" i="5"/>
  <c r="J54" i="5"/>
  <c r="H54" i="5"/>
  <c r="F54" i="5"/>
  <c r="D54" i="5"/>
  <c r="B54" i="5"/>
  <c r="K54" i="5"/>
  <c r="AL54" i="5" s="1"/>
  <c r="J39" i="5"/>
  <c r="B39" i="5"/>
  <c r="H39" i="5"/>
  <c r="D39" i="5"/>
  <c r="F39" i="5"/>
  <c r="K39" i="5"/>
  <c r="Y35" i="5"/>
  <c r="AK35" i="5" s="1"/>
  <c r="Y33" i="5"/>
  <c r="AK33" i="5" s="1"/>
  <c r="Y31" i="5"/>
  <c r="AK31" i="5" s="1"/>
  <c r="Y29" i="5"/>
  <c r="AK29" i="5" s="1"/>
  <c r="Y19" i="5"/>
  <c r="AK19" i="5" s="1"/>
  <c r="Y53" i="5"/>
  <c r="J29" i="5"/>
  <c r="H29" i="5"/>
  <c r="F29" i="5"/>
  <c r="D29" i="5"/>
  <c r="B29" i="5"/>
  <c r="K29" i="5"/>
  <c r="K19" i="5"/>
  <c r="J19" i="5"/>
  <c r="H19" i="5"/>
  <c r="F19" i="5"/>
  <c r="D19" i="5"/>
  <c r="B19" i="5"/>
  <c r="J10" i="5"/>
  <c r="H10" i="5"/>
  <c r="F10" i="5"/>
  <c r="D10" i="5"/>
  <c r="B10" i="5"/>
  <c r="K10" i="5"/>
  <c r="K49" i="5"/>
  <c r="AL49" i="5" s="1"/>
  <c r="J49" i="5"/>
  <c r="H49" i="5"/>
  <c r="F49" i="5"/>
  <c r="D49" i="5"/>
  <c r="B49" i="5"/>
  <c r="K26" i="5"/>
  <c r="J26" i="5"/>
  <c r="H26" i="5"/>
  <c r="F26" i="5"/>
  <c r="D26" i="5"/>
  <c r="B26" i="5"/>
  <c r="K18" i="5"/>
  <c r="J18" i="5"/>
  <c r="H18" i="5"/>
  <c r="F18" i="5"/>
  <c r="D18" i="5"/>
  <c r="B18" i="5"/>
  <c r="Y9" i="5"/>
  <c r="AK9" i="5" s="1"/>
  <c r="J60" i="5"/>
  <c r="H60" i="5"/>
  <c r="F60" i="5"/>
  <c r="D60" i="5"/>
  <c r="B60" i="5"/>
  <c r="K60" i="5"/>
  <c r="AL60" i="5" s="1"/>
  <c r="Y57" i="5"/>
  <c r="Y55" i="5"/>
  <c r="Y49" i="5"/>
  <c r="J46" i="5"/>
  <c r="H46" i="5"/>
  <c r="F46" i="5"/>
  <c r="D46" i="5"/>
  <c r="B46" i="5"/>
  <c r="K46" i="5"/>
  <c r="AL46" i="5" s="1"/>
  <c r="K53" i="5"/>
  <c r="AL53" i="5" s="1"/>
  <c r="J53" i="5"/>
  <c r="H53" i="5"/>
  <c r="F53" i="5"/>
  <c r="D53" i="5"/>
  <c r="B53" i="5"/>
  <c r="Y44" i="5"/>
  <c r="J38" i="5"/>
  <c r="F38" i="5"/>
  <c r="B38" i="5"/>
  <c r="H38" i="5"/>
  <c r="D38" i="5"/>
  <c r="K38" i="5"/>
  <c r="J28" i="5"/>
  <c r="H28" i="5"/>
  <c r="F28" i="5"/>
  <c r="D28" i="5"/>
  <c r="B28" i="5"/>
  <c r="K28" i="5"/>
  <c r="Y24" i="5"/>
  <c r="AK24" i="5" s="1"/>
  <c r="Y16" i="5"/>
  <c r="AK16" i="5" s="1"/>
  <c r="Y40" i="5"/>
  <c r="AK40" i="5" s="1"/>
  <c r="Y7" i="5"/>
  <c r="AK7" i="5" s="1"/>
  <c r="Y54" i="5"/>
  <c r="Y50" i="5"/>
  <c r="Y36" i="5"/>
  <c r="AK36" i="5" s="1"/>
  <c r="J34" i="5"/>
  <c r="H34" i="5"/>
  <c r="F34" i="5"/>
  <c r="D34" i="5"/>
  <c r="B34" i="5"/>
  <c r="K34" i="5"/>
  <c r="J32" i="5"/>
  <c r="H32" i="5"/>
  <c r="F32" i="5"/>
  <c r="D32" i="5"/>
  <c r="B32" i="5"/>
  <c r="K32" i="5"/>
  <c r="J30" i="5"/>
  <c r="H30" i="5"/>
  <c r="F30" i="5"/>
  <c r="D30" i="5"/>
  <c r="B30" i="5"/>
  <c r="K30" i="5"/>
  <c r="Y21" i="5"/>
  <c r="AK21" i="5" s="1"/>
  <c r="J15" i="5"/>
  <c r="H15" i="5"/>
  <c r="F15" i="5"/>
  <c r="D15" i="5"/>
  <c r="B15" i="5"/>
  <c r="K15" i="5"/>
  <c r="K8" i="5"/>
  <c r="K50" i="5"/>
  <c r="AL50" i="5" s="1"/>
  <c r="J50" i="5"/>
  <c r="H50" i="5"/>
  <c r="F50" i="5"/>
  <c r="D50" i="5"/>
  <c r="B50" i="5"/>
  <c r="K24" i="5"/>
  <c r="J24" i="5"/>
  <c r="H24" i="5"/>
  <c r="F24" i="5"/>
  <c r="D24" i="5"/>
  <c r="B24" i="5"/>
  <c r="J16" i="5"/>
  <c r="H16" i="5"/>
  <c r="F16" i="5"/>
  <c r="D16" i="5"/>
  <c r="B16" i="5"/>
  <c r="K16" i="5"/>
  <c r="Y8" i="5"/>
  <c r="AK8" i="5" s="1"/>
  <c r="Y48" i="5"/>
  <c r="K25" i="5"/>
  <c r="J25" i="5"/>
  <c r="H25" i="5"/>
  <c r="F25" i="5"/>
  <c r="D25" i="5"/>
  <c r="B25" i="5"/>
  <c r="K17" i="5"/>
  <c r="J17" i="5"/>
  <c r="H17" i="5"/>
  <c r="F17" i="5"/>
  <c r="D17" i="5"/>
  <c r="B17" i="5"/>
  <c r="Y61" i="5"/>
  <c r="Y59" i="5"/>
  <c r="J57" i="5"/>
  <c r="H57" i="5"/>
  <c r="F57" i="5"/>
  <c r="D57" i="5"/>
  <c r="B57" i="5"/>
  <c r="K57" i="5"/>
  <c r="AL57" i="5" s="1"/>
  <c r="Y47" i="5"/>
  <c r="Y43" i="5"/>
  <c r="J48" i="5"/>
  <c r="H48" i="5"/>
  <c r="F48" i="5"/>
  <c r="D48" i="5"/>
  <c r="B48" i="5"/>
  <c r="K48" i="5"/>
  <c r="AL48" i="5" s="1"/>
  <c r="Y28" i="5"/>
  <c r="AK28" i="5" s="1"/>
  <c r="Y26" i="5"/>
  <c r="AK26" i="5" s="1"/>
  <c r="Y18" i="5"/>
  <c r="AK18" i="5" s="1"/>
  <c r="J9" i="5"/>
  <c r="H9" i="5"/>
  <c r="F9" i="5"/>
  <c r="D9" i="5"/>
  <c r="B9" i="5"/>
  <c r="K9" i="5"/>
  <c r="J51" i="5"/>
  <c r="H51" i="5"/>
  <c r="F51" i="5"/>
  <c r="D51" i="5"/>
  <c r="B51" i="5"/>
  <c r="K51" i="5"/>
  <c r="AL51" i="5" s="1"/>
  <c r="H43" i="5"/>
  <c r="D43" i="5"/>
  <c r="J43" i="5"/>
  <c r="F43" i="5"/>
  <c r="B43" i="5"/>
  <c r="K43" i="5"/>
  <c r="AL43" i="5" s="1"/>
  <c r="Y34" i="5"/>
  <c r="AK34" i="5" s="1"/>
  <c r="Y32" i="5"/>
  <c r="AK32" i="5" s="1"/>
  <c r="Y30" i="5"/>
  <c r="AK30" i="5" s="1"/>
  <c r="Y23" i="5"/>
  <c r="AK23" i="5" s="1"/>
  <c r="Y15" i="5"/>
  <c r="AK15" i="5" s="1"/>
  <c r="A27" i="10" l="1"/>
  <c r="A38" i="10"/>
  <c r="A21" i="10"/>
  <c r="A31" i="10"/>
  <c r="E40" i="10"/>
  <c r="AL23" i="5"/>
  <c r="E43" i="5"/>
  <c r="C43" i="5"/>
  <c r="G8" i="5"/>
  <c r="A8" i="5"/>
  <c r="AL32" i="5"/>
  <c r="G48" i="5"/>
  <c r="E57" i="5"/>
  <c r="I57" i="5"/>
  <c r="E17" i="5"/>
  <c r="A25" i="5"/>
  <c r="E25" i="5"/>
  <c r="A24" i="5"/>
  <c r="E24" i="5"/>
  <c r="E50" i="5"/>
  <c r="A15" i="5"/>
  <c r="E15" i="5"/>
  <c r="C34" i="5"/>
  <c r="AL36" i="5"/>
  <c r="AL7" i="5"/>
  <c r="AL16" i="5"/>
  <c r="E38" i="5"/>
  <c r="C53" i="5"/>
  <c r="G53" i="5"/>
  <c r="A46" i="5"/>
  <c r="A18" i="5"/>
  <c r="E18" i="5"/>
  <c r="I18" i="5"/>
  <c r="A26" i="5"/>
  <c r="E26" i="5"/>
  <c r="A49" i="5"/>
  <c r="E49" i="5"/>
  <c r="A19" i="5"/>
  <c r="E19" i="5"/>
  <c r="C29" i="5"/>
  <c r="AL29" i="5"/>
  <c r="AL33" i="5"/>
  <c r="C12" i="5"/>
  <c r="K63" i="5"/>
  <c r="AL10" i="5"/>
  <c r="AL27" i="5"/>
  <c r="A42" i="5"/>
  <c r="E42" i="5"/>
  <c r="E40" i="5"/>
  <c r="C56" i="5"/>
  <c r="C58" i="5"/>
  <c r="G58" i="5"/>
  <c r="E21" i="5"/>
  <c r="A52" i="5"/>
  <c r="A20" i="5"/>
  <c r="E20" i="5"/>
  <c r="AL17" i="5"/>
  <c r="G33" i="5"/>
  <c r="C35" i="5"/>
  <c r="E41" i="5"/>
  <c r="AL13" i="5"/>
  <c r="G27" i="5"/>
  <c r="AL37" i="5"/>
  <c r="G45" i="5"/>
  <c r="G47" i="5"/>
  <c r="E61" i="5"/>
  <c r="A22" i="5"/>
  <c r="E22" i="5"/>
  <c r="I59" i="5"/>
  <c r="C14" i="5"/>
  <c r="C23" i="5"/>
  <c r="G37" i="5"/>
  <c r="AL26" i="5"/>
  <c r="AL15" i="5"/>
  <c r="AL30" i="5"/>
  <c r="AL34" i="5"/>
  <c r="A43" i="5"/>
  <c r="E51" i="5"/>
  <c r="E9" i="5"/>
  <c r="AL18" i="5"/>
  <c r="AL28" i="5"/>
  <c r="C25" i="5"/>
  <c r="AL8" i="5"/>
  <c r="A16" i="5"/>
  <c r="E16" i="5"/>
  <c r="I16" i="5"/>
  <c r="AL21" i="5"/>
  <c r="E30" i="5"/>
  <c r="E32" i="5"/>
  <c r="A34" i="5"/>
  <c r="E34" i="5"/>
  <c r="AL40" i="5"/>
  <c r="AL24" i="5"/>
  <c r="E28" i="5"/>
  <c r="A53" i="5"/>
  <c r="G46" i="5"/>
  <c r="E60" i="5"/>
  <c r="AL9" i="5"/>
  <c r="C18" i="5"/>
  <c r="A10" i="5"/>
  <c r="E10" i="5"/>
  <c r="A29" i="5"/>
  <c r="E29" i="5"/>
  <c r="AL19" i="5"/>
  <c r="AL31" i="5"/>
  <c r="AL35" i="5"/>
  <c r="E39" i="5"/>
  <c r="E54" i="5"/>
  <c r="A12" i="5"/>
  <c r="E12" i="5"/>
  <c r="A7" i="5"/>
  <c r="E7" i="5"/>
  <c r="AL22" i="5"/>
  <c r="C42" i="5"/>
  <c r="E44" i="5"/>
  <c r="E56" i="5"/>
  <c r="A58" i="5"/>
  <c r="I58" i="5"/>
  <c r="A11" i="5"/>
  <c r="E11" i="5"/>
  <c r="G52" i="5"/>
  <c r="AL12" i="5"/>
  <c r="C20" i="5"/>
  <c r="A36" i="5"/>
  <c r="E36" i="5"/>
  <c r="E55" i="5"/>
  <c r="AL11" i="5"/>
  <c r="AL25" i="5"/>
  <c r="E31" i="5"/>
  <c r="A33" i="5"/>
  <c r="E35" i="5"/>
  <c r="AL39" i="5"/>
  <c r="AL38" i="5"/>
  <c r="AL20" i="5"/>
  <c r="E62" i="5"/>
  <c r="C61" i="5"/>
  <c r="A13" i="5"/>
  <c r="E13" i="5"/>
  <c r="C22" i="5"/>
  <c r="G59" i="5"/>
  <c r="A59" i="5"/>
  <c r="A14" i="5"/>
  <c r="E14" i="5"/>
  <c r="A23" i="5"/>
  <c r="E23" i="5"/>
  <c r="A37" i="5"/>
  <c r="AL14" i="5"/>
  <c r="A40" i="10" l="1"/>
  <c r="G63" i="5"/>
  <c r="A63" i="5"/>
  <c r="C63" i="5"/>
  <c r="E63" i="5"/>
  <c r="I63" i="5"/>
  <c r="J8" i="4" l="1"/>
  <c r="I9" i="4" l="1"/>
  <c r="AD9" i="4"/>
  <c r="AF9" i="4"/>
  <c r="AE9" i="4"/>
  <c r="J9" i="4"/>
  <c r="AI9" i="4"/>
  <c r="AJ9" i="4" s="1"/>
  <c r="I13" i="4"/>
  <c r="AF12" i="38" s="1"/>
  <c r="AD12" i="38" s="1"/>
  <c r="AE13" i="4"/>
  <c r="AF13" i="4"/>
  <c r="J13" i="4"/>
  <c r="AD13" i="4"/>
  <c r="AI13" i="4"/>
  <c r="AJ13" i="4" s="1"/>
  <c r="I17" i="4"/>
  <c r="AF28" i="38" s="1"/>
  <c r="AD28" i="38" s="1"/>
  <c r="AE17" i="4"/>
  <c r="J17" i="4"/>
  <c r="AI17" i="4"/>
  <c r="AJ17" i="4" s="1"/>
  <c r="AF17" i="4"/>
  <c r="AD17" i="4"/>
  <c r="I21" i="4"/>
  <c r="AF9" i="38" s="1"/>
  <c r="AD9" i="38" s="1"/>
  <c r="AE21" i="4"/>
  <c r="J21" i="4"/>
  <c r="AI21" i="4"/>
  <c r="AJ21" i="4" s="1"/>
  <c r="AF21" i="4"/>
  <c r="AD21" i="4"/>
  <c r="I25" i="4"/>
  <c r="AE25" i="4"/>
  <c r="J25" i="4"/>
  <c r="AI25" i="4"/>
  <c r="AJ25" i="4" s="1"/>
  <c r="AF25" i="4"/>
  <c r="AD25" i="4"/>
  <c r="I29" i="4"/>
  <c r="AF25" i="38" s="1"/>
  <c r="AD25" i="38" s="1"/>
  <c r="AF29" i="4"/>
  <c r="J29" i="4"/>
  <c r="AI29" i="4"/>
  <c r="AJ29" i="4" s="1"/>
  <c r="AE29" i="4"/>
  <c r="AD29" i="4"/>
  <c r="I33" i="4"/>
  <c r="AF33" i="4"/>
  <c r="J33" i="4"/>
  <c r="AI33" i="4"/>
  <c r="AJ33" i="4" s="1"/>
  <c r="AE33" i="4"/>
  <c r="AD33" i="4"/>
  <c r="I37" i="4"/>
  <c r="AJ7" i="33" s="1"/>
  <c r="AI37" i="4"/>
  <c r="AJ37" i="4" s="1"/>
  <c r="J37" i="4"/>
  <c r="AF37" i="4"/>
  <c r="AD37" i="4"/>
  <c r="AE37" i="4"/>
  <c r="J10" i="4"/>
  <c r="AF10" i="4"/>
  <c r="I10" i="4"/>
  <c r="AF23" i="38" s="1"/>
  <c r="AD23" i="38" s="1"/>
  <c r="AD10" i="4"/>
  <c r="AE10" i="4"/>
  <c r="AI10" i="4"/>
  <c r="AJ10" i="4" s="1"/>
  <c r="J16" i="4"/>
  <c r="I16" i="4"/>
  <c r="AF20" i="38" s="1"/>
  <c r="AD20" i="38" s="1"/>
  <c r="AF16" i="4"/>
  <c r="AE16" i="4"/>
  <c r="AI16" i="4"/>
  <c r="AJ16" i="4" s="1"/>
  <c r="AD16" i="4"/>
  <c r="J20" i="4"/>
  <c r="I20" i="4"/>
  <c r="AF20" i="4"/>
  <c r="AE20" i="4"/>
  <c r="AI20" i="4"/>
  <c r="AJ20" i="4" s="1"/>
  <c r="AD20" i="4"/>
  <c r="J24" i="4"/>
  <c r="I24" i="4"/>
  <c r="AF24" i="4"/>
  <c r="AE24" i="4"/>
  <c r="AI24" i="4"/>
  <c r="AJ24" i="4" s="1"/>
  <c r="AD24" i="4"/>
  <c r="J28" i="4"/>
  <c r="I28" i="4"/>
  <c r="AF22" i="38" s="1"/>
  <c r="AD22" i="38" s="1"/>
  <c r="AF28" i="4"/>
  <c r="AE28" i="4"/>
  <c r="AI28" i="4"/>
  <c r="AJ28" i="4" s="1"/>
  <c r="AD28" i="4"/>
  <c r="J32" i="4"/>
  <c r="AF32" i="4"/>
  <c r="I32" i="4"/>
  <c r="AE32" i="4"/>
  <c r="AI32" i="4"/>
  <c r="AJ32" i="4" s="1"/>
  <c r="AD32" i="4"/>
  <c r="J36" i="4"/>
  <c r="I36" i="4"/>
  <c r="AD36" i="4"/>
  <c r="AF36" i="4"/>
  <c r="AE36" i="4"/>
  <c r="AI36" i="4"/>
  <c r="AJ36" i="4" s="1"/>
  <c r="J39" i="4"/>
  <c r="AE39" i="4"/>
  <c r="AF39" i="4"/>
  <c r="AI39" i="4"/>
  <c r="AJ39" i="4" s="1"/>
  <c r="I39" i="4"/>
  <c r="AD39" i="4"/>
  <c r="I43" i="4"/>
  <c r="AF13" i="38" s="1"/>
  <c r="AD13" i="38" s="1"/>
  <c r="J43" i="4"/>
  <c r="AI43" i="4"/>
  <c r="AJ43" i="4" s="1"/>
  <c r="AD43" i="4"/>
  <c r="AF43" i="4"/>
  <c r="AE43" i="4"/>
  <c r="I47" i="4"/>
  <c r="J47" i="4"/>
  <c r="AF47" i="4"/>
  <c r="AI47" i="4"/>
  <c r="AJ47" i="4" s="1"/>
  <c r="AD47" i="4"/>
  <c r="AE47" i="4"/>
  <c r="J51" i="4"/>
  <c r="AI51" i="4"/>
  <c r="AJ51" i="4" s="1"/>
  <c r="AD51" i="4"/>
  <c r="I51" i="4"/>
  <c r="AF51" i="4"/>
  <c r="AE51" i="4"/>
  <c r="I40" i="4"/>
  <c r="AD40" i="4"/>
  <c r="AF40" i="4"/>
  <c r="AE40" i="4"/>
  <c r="AI40" i="4"/>
  <c r="AJ40" i="4" s="1"/>
  <c r="J40" i="4"/>
  <c r="I44" i="4"/>
  <c r="AJ12" i="31" s="1"/>
  <c r="J44" i="4"/>
  <c r="AF44" i="4"/>
  <c r="AE44" i="4"/>
  <c r="AI44" i="4"/>
  <c r="AJ44" i="4" s="1"/>
  <c r="AD44" i="4"/>
  <c r="J48" i="4"/>
  <c r="I48" i="4"/>
  <c r="AF24" i="37" s="1"/>
  <c r="AD24" i="37" s="1"/>
  <c r="AF48" i="4"/>
  <c r="AE48" i="4"/>
  <c r="AI48" i="4"/>
  <c r="AJ48" i="4" s="1"/>
  <c r="AD48" i="4"/>
  <c r="I52" i="4"/>
  <c r="AH12" i="31" s="1"/>
  <c r="J52" i="4"/>
  <c r="AF52" i="4"/>
  <c r="AE52" i="4"/>
  <c r="AI52" i="4"/>
  <c r="AJ52" i="4" s="1"/>
  <c r="AD52" i="4"/>
  <c r="J57" i="4"/>
  <c r="I57" i="4"/>
  <c r="AD57" i="4"/>
  <c r="AF57" i="4"/>
  <c r="AE57" i="4"/>
  <c r="AI57" i="4"/>
  <c r="AJ57" i="4" s="1"/>
  <c r="I56" i="4"/>
  <c r="AI56" i="4"/>
  <c r="AJ56" i="4" s="1"/>
  <c r="AE56" i="4"/>
  <c r="AF56" i="4"/>
  <c r="J56" i="4"/>
  <c r="AD56" i="4"/>
  <c r="I60" i="4"/>
  <c r="AE23" i="32" s="1"/>
  <c r="AE60" i="4"/>
  <c r="AF60" i="4"/>
  <c r="AD60" i="4"/>
  <c r="AI60" i="4"/>
  <c r="AJ60" i="4" s="1"/>
  <c r="J60" i="4"/>
  <c r="I64" i="4"/>
  <c r="AF27" i="35" s="1"/>
  <c r="AD27" i="35" s="1"/>
  <c r="AE64" i="4"/>
  <c r="AF64" i="4"/>
  <c r="AD64" i="4"/>
  <c r="AI64" i="4"/>
  <c r="AJ64" i="4" s="1"/>
  <c r="J64" i="4"/>
  <c r="J59" i="4"/>
  <c r="AF59" i="4"/>
  <c r="AE59" i="4"/>
  <c r="AI59" i="4"/>
  <c r="AJ59" i="4" s="1"/>
  <c r="AD59" i="4"/>
  <c r="I59" i="4"/>
  <c r="AF11" i="29" s="1"/>
  <c r="AD11" i="29" s="1"/>
  <c r="J63" i="4"/>
  <c r="AF63" i="4"/>
  <c r="AE63" i="4"/>
  <c r="AI63" i="4"/>
  <c r="AJ63" i="4" s="1"/>
  <c r="AD63" i="4"/>
  <c r="I63" i="4"/>
  <c r="AF32" i="30" s="1"/>
  <c r="AD32" i="30" s="1"/>
  <c r="AG14" i="24"/>
  <c r="J12" i="4"/>
  <c r="AF12" i="4"/>
  <c r="I12" i="4"/>
  <c r="AF19" i="38" s="1"/>
  <c r="AD19" i="38" s="1"/>
  <c r="AE12" i="4"/>
  <c r="AI12" i="4"/>
  <c r="AJ12" i="4" s="1"/>
  <c r="AD12" i="4"/>
  <c r="I11" i="4"/>
  <c r="AF8" i="38" s="1"/>
  <c r="AD8" i="38" s="1"/>
  <c r="AI11" i="4"/>
  <c r="AJ11" i="4" s="1"/>
  <c r="AF11" i="4"/>
  <c r="J11" i="4"/>
  <c r="AE11" i="4"/>
  <c r="AD11" i="4"/>
  <c r="I15" i="4"/>
  <c r="AF33" i="38" s="1"/>
  <c r="AD33" i="38" s="1"/>
  <c r="AD15" i="4"/>
  <c r="AI15" i="4"/>
  <c r="AJ15" i="4" s="1"/>
  <c r="AE15" i="4"/>
  <c r="AF15" i="4"/>
  <c r="J15" i="4"/>
  <c r="I19" i="4"/>
  <c r="AF17" i="38" s="1"/>
  <c r="AD17" i="38" s="1"/>
  <c r="AD19" i="4"/>
  <c r="AI19" i="4"/>
  <c r="AJ19" i="4" s="1"/>
  <c r="AE19" i="4"/>
  <c r="AF19" i="4"/>
  <c r="J19" i="4"/>
  <c r="I23" i="4"/>
  <c r="AF15" i="37" s="1"/>
  <c r="AD15" i="37" s="1"/>
  <c r="AD23" i="4"/>
  <c r="AI23" i="4"/>
  <c r="AJ23" i="4" s="1"/>
  <c r="AE23" i="4"/>
  <c r="AF23" i="4"/>
  <c r="J23" i="4"/>
  <c r="I27" i="4"/>
  <c r="AF11" i="38" s="1"/>
  <c r="AD11" i="38" s="1"/>
  <c r="AD27" i="4"/>
  <c r="AI27" i="4"/>
  <c r="AJ27" i="4" s="1"/>
  <c r="AF27" i="4"/>
  <c r="AE27" i="4"/>
  <c r="J27" i="4"/>
  <c r="I31" i="4"/>
  <c r="AE16" i="25" s="1"/>
  <c r="AE31" i="4"/>
  <c r="AF31" i="4"/>
  <c r="AD31" i="4"/>
  <c r="AI31" i="4"/>
  <c r="AJ31" i="4" s="1"/>
  <c r="J31" i="4"/>
  <c r="I35" i="4"/>
  <c r="AJ17" i="27" s="1"/>
  <c r="AD35" i="4"/>
  <c r="AE35" i="4"/>
  <c r="J35" i="4"/>
  <c r="AF35" i="4"/>
  <c r="AI35" i="4"/>
  <c r="AJ35" i="4" s="1"/>
  <c r="V65" i="4"/>
  <c r="I27" i="2" s="1"/>
  <c r="I8" i="4"/>
  <c r="AF14" i="38" s="1"/>
  <c r="AD14" i="38" s="1"/>
  <c r="AE8" i="4"/>
  <c r="AI8" i="4"/>
  <c r="AJ8" i="4" s="1"/>
  <c r="AF8" i="4"/>
  <c r="AD8" i="4"/>
  <c r="AF14" i="4"/>
  <c r="AE14" i="4"/>
  <c r="AI14" i="4"/>
  <c r="AJ14" i="4" s="1"/>
  <c r="J14" i="4"/>
  <c r="I14" i="4"/>
  <c r="AF24" i="38" s="1"/>
  <c r="AD24" i="38" s="1"/>
  <c r="AD14" i="4"/>
  <c r="J18" i="4"/>
  <c r="AE18" i="4"/>
  <c r="AI18" i="4"/>
  <c r="AJ18" i="4" s="1"/>
  <c r="AF18" i="4"/>
  <c r="I18" i="4"/>
  <c r="AD18" i="4"/>
  <c r="J22" i="4"/>
  <c r="AE22" i="4"/>
  <c r="AI22" i="4"/>
  <c r="AJ22" i="4" s="1"/>
  <c r="AF22" i="4"/>
  <c r="I22" i="4"/>
  <c r="AD22" i="4"/>
  <c r="J26" i="4"/>
  <c r="AE26" i="4"/>
  <c r="AI26" i="4"/>
  <c r="AJ26" i="4" s="1"/>
  <c r="AF26" i="4"/>
  <c r="I26" i="4"/>
  <c r="AF10" i="35" s="1"/>
  <c r="AD10" i="35" s="1"/>
  <c r="AD26" i="4"/>
  <c r="J30" i="4"/>
  <c r="AF30" i="4"/>
  <c r="AE30" i="4"/>
  <c r="AI30" i="4"/>
  <c r="AJ30" i="4" s="1"/>
  <c r="I30" i="4"/>
  <c r="AD30" i="4"/>
  <c r="J34" i="4"/>
  <c r="AF34" i="4"/>
  <c r="AE34" i="4"/>
  <c r="AI34" i="4"/>
  <c r="AJ34" i="4" s="1"/>
  <c r="I34" i="4"/>
  <c r="AD34" i="4"/>
  <c r="I38" i="4"/>
  <c r="AE38" i="4"/>
  <c r="AI38" i="4"/>
  <c r="AJ38" i="4" s="1"/>
  <c r="J38" i="4"/>
  <c r="AF38" i="4"/>
  <c r="AD38" i="4"/>
  <c r="J41" i="4"/>
  <c r="AI41" i="4"/>
  <c r="AJ41" i="4" s="1"/>
  <c r="AD41" i="4"/>
  <c r="AE41" i="4"/>
  <c r="AF41" i="4"/>
  <c r="I41" i="4"/>
  <c r="I45" i="4"/>
  <c r="AF20" i="37" s="1"/>
  <c r="AD20" i="37" s="1"/>
  <c r="J45" i="4"/>
  <c r="AF45" i="4"/>
  <c r="AE45" i="4"/>
  <c r="AI45" i="4"/>
  <c r="AJ45" i="4" s="1"/>
  <c r="AD45" i="4"/>
  <c r="I49" i="4"/>
  <c r="AI49" i="4"/>
  <c r="AJ49" i="4" s="1"/>
  <c r="AD49" i="4"/>
  <c r="J49" i="4"/>
  <c r="AF49" i="4"/>
  <c r="AE49" i="4"/>
  <c r="AF53" i="4"/>
  <c r="I53" i="4"/>
  <c r="AJ16" i="27" s="1"/>
  <c r="J53" i="4"/>
  <c r="AI53" i="4"/>
  <c r="AJ53" i="4" s="1"/>
  <c r="AE53" i="4"/>
  <c r="AD53" i="4"/>
  <c r="I42" i="4"/>
  <c r="AD42" i="4"/>
  <c r="AF42" i="4"/>
  <c r="AE42" i="4"/>
  <c r="AI42" i="4"/>
  <c r="AJ42" i="4" s="1"/>
  <c r="J42" i="4"/>
  <c r="I46" i="4"/>
  <c r="AF27" i="38" s="1"/>
  <c r="AD27" i="38" s="1"/>
  <c r="AF46" i="4"/>
  <c r="AE46" i="4"/>
  <c r="AI46" i="4"/>
  <c r="AJ46" i="4" s="1"/>
  <c r="AD46" i="4"/>
  <c r="J46" i="4"/>
  <c r="I50" i="4"/>
  <c r="J50" i="4"/>
  <c r="AF50" i="4"/>
  <c r="AE50" i="4"/>
  <c r="AI50" i="4"/>
  <c r="AJ50" i="4" s="1"/>
  <c r="AD50" i="4"/>
  <c r="J55" i="4"/>
  <c r="AE55" i="4"/>
  <c r="AI55" i="4"/>
  <c r="AJ55" i="4" s="1"/>
  <c r="AF55" i="4"/>
  <c r="I55" i="4"/>
  <c r="AD55" i="4"/>
  <c r="I54" i="4"/>
  <c r="AF13" i="30" s="1"/>
  <c r="AD13" i="30" s="1"/>
  <c r="AF54" i="4"/>
  <c r="AE54" i="4"/>
  <c r="AD54" i="4"/>
  <c r="AI54" i="4"/>
  <c r="AJ54" i="4" s="1"/>
  <c r="J54" i="4"/>
  <c r="AI58" i="4"/>
  <c r="AJ58" i="4" s="1"/>
  <c r="AF58" i="4"/>
  <c r="AD58" i="4"/>
  <c r="AE58" i="4"/>
  <c r="J58" i="4"/>
  <c r="I58" i="4"/>
  <c r="I62" i="4"/>
  <c r="AI62" i="4"/>
  <c r="AJ62" i="4" s="1"/>
  <c r="AF62" i="4"/>
  <c r="J62" i="4"/>
  <c r="AE62" i="4"/>
  <c r="AD62" i="4"/>
  <c r="J61" i="4"/>
  <c r="AF61" i="4"/>
  <c r="I61" i="4"/>
  <c r="AF18" i="29" s="1"/>
  <c r="AD18" i="29" s="1"/>
  <c r="AE61" i="4"/>
  <c r="AI61" i="4"/>
  <c r="AJ61" i="4" s="1"/>
  <c r="AD61" i="4"/>
  <c r="AG24" i="32" l="1"/>
  <c r="AF34" i="38"/>
  <c r="AD34" i="38" s="1"/>
  <c r="AF27" i="37"/>
  <c r="AD27" i="37" s="1"/>
  <c r="AF32" i="38"/>
  <c r="AD32" i="38" s="1"/>
  <c r="AE9" i="24"/>
  <c r="AF35" i="38"/>
  <c r="AD35" i="38" s="1"/>
  <c r="AF22" i="37"/>
  <c r="AD22" i="37" s="1"/>
  <c r="AF16" i="38"/>
  <c r="AD16" i="38" s="1"/>
  <c r="AF9" i="37"/>
  <c r="AD9" i="37" s="1"/>
  <c r="AF10" i="38"/>
  <c r="AD10" i="38" s="1"/>
  <c r="AF25" i="37"/>
  <c r="AD25" i="37" s="1"/>
  <c r="AF21" i="38"/>
  <c r="AD21" i="38" s="1"/>
  <c r="AF19" i="37"/>
  <c r="AD19" i="37" s="1"/>
  <c r="AF18" i="38"/>
  <c r="AD18" i="38" s="1"/>
  <c r="AF26" i="36"/>
  <c r="AD26" i="36" s="1"/>
  <c r="AF31" i="38"/>
  <c r="AD31" i="38" s="1"/>
  <c r="AF29" i="37"/>
  <c r="AD29" i="37" s="1"/>
  <c r="AF30" i="38"/>
  <c r="AD30" i="38" s="1"/>
  <c r="AF30" i="37"/>
  <c r="AD30" i="37" s="1"/>
  <c r="AF29" i="38"/>
  <c r="AD29" i="38" s="1"/>
  <c r="AG14" i="34"/>
  <c r="AF26" i="38"/>
  <c r="AD26" i="38" s="1"/>
  <c r="AF14" i="36"/>
  <c r="AD14" i="36" s="1"/>
  <c r="AF15" i="38"/>
  <c r="AD15" i="38" s="1"/>
  <c r="AF8" i="37"/>
  <c r="AD8" i="37" s="1"/>
  <c r="E65" i="4"/>
  <c r="AF8" i="36"/>
  <c r="AD8" i="36" s="1"/>
  <c r="AF31" i="37"/>
  <c r="AD31" i="37" s="1"/>
  <c r="AF16" i="36"/>
  <c r="AD16" i="36" s="1"/>
  <c r="AF11" i="37"/>
  <c r="AD11" i="37" s="1"/>
  <c r="AE13" i="34"/>
  <c r="AF10" i="37"/>
  <c r="AD10" i="37" s="1"/>
  <c r="AF12" i="36"/>
  <c r="AD12" i="36" s="1"/>
  <c r="AF28" i="37"/>
  <c r="AD28" i="37" s="1"/>
  <c r="AF11" i="36"/>
  <c r="AD11" i="36" s="1"/>
  <c r="AF13" i="37"/>
  <c r="AD13" i="37" s="1"/>
  <c r="AF29" i="36"/>
  <c r="AD29" i="36" s="1"/>
  <c r="AF21" i="37"/>
  <c r="AD21" i="37" s="1"/>
  <c r="AF21" i="35"/>
  <c r="AD21" i="35" s="1"/>
  <c r="AF26" i="37"/>
  <c r="AD26" i="37" s="1"/>
  <c r="AF10" i="36"/>
  <c r="AD10" i="36" s="1"/>
  <c r="AF12" i="37"/>
  <c r="AD12" i="37" s="1"/>
  <c r="AF21" i="36"/>
  <c r="AD21" i="36" s="1"/>
  <c r="AF14" i="37"/>
  <c r="AD14" i="37" s="1"/>
  <c r="AF9" i="36"/>
  <c r="AD9" i="36" s="1"/>
  <c r="AF16" i="37"/>
  <c r="AD16" i="37" s="1"/>
  <c r="AF23" i="36"/>
  <c r="AD23" i="36" s="1"/>
  <c r="AF23" i="37"/>
  <c r="AD23" i="37" s="1"/>
  <c r="AG11" i="34"/>
  <c r="AF17" i="37"/>
  <c r="AD17" i="37" s="1"/>
  <c r="AF19" i="36"/>
  <c r="AD19" i="36" s="1"/>
  <c r="AF18" i="37"/>
  <c r="AD18" i="37" s="1"/>
  <c r="AG18" i="34"/>
  <c r="AF25" i="36"/>
  <c r="AD25" i="36" s="1"/>
  <c r="AF8" i="35"/>
  <c r="AD8" i="35" s="1"/>
  <c r="AF17" i="36"/>
  <c r="AD17" i="36" s="1"/>
  <c r="AF26" i="35"/>
  <c r="AD26" i="35" s="1"/>
  <c r="AF27" i="36"/>
  <c r="AD27" i="36" s="1"/>
  <c r="AF24" i="35"/>
  <c r="AD24" i="35" s="1"/>
  <c r="AF24" i="36"/>
  <c r="AD24" i="36" s="1"/>
  <c r="AF14" i="35"/>
  <c r="AD14" i="35" s="1"/>
  <c r="AF18" i="36"/>
  <c r="AD18" i="36" s="1"/>
  <c r="AF29" i="35"/>
  <c r="AD29" i="35" s="1"/>
  <c r="AF20" i="36"/>
  <c r="AD20" i="36" s="1"/>
  <c r="AN7" i="33"/>
  <c r="AF22" i="36"/>
  <c r="AD22" i="36" s="1"/>
  <c r="AG14" i="26"/>
  <c r="AF28" i="36"/>
  <c r="AD28" i="36" s="1"/>
  <c r="AF22" i="35"/>
  <c r="AD22" i="35" s="1"/>
  <c r="AF15" i="36"/>
  <c r="AD15" i="36" s="1"/>
  <c r="AF19" i="35"/>
  <c r="AD19" i="35" s="1"/>
  <c r="AF13" i="36"/>
  <c r="AD13" i="36" s="1"/>
  <c r="AG9" i="34"/>
  <c r="AF18" i="35"/>
  <c r="AD18" i="35" s="1"/>
  <c r="AI17" i="24"/>
  <c r="AF23" i="35"/>
  <c r="AD23" i="35" s="1"/>
  <c r="AH7" i="33"/>
  <c r="AF17" i="35"/>
  <c r="AD17" i="35" s="1"/>
  <c r="AE14" i="34"/>
  <c r="AD14" i="34" s="1"/>
  <c r="AF15" i="35"/>
  <c r="AD15" i="35" s="1"/>
  <c r="AG8" i="34"/>
  <c r="AF12" i="35"/>
  <c r="AD12" i="35" s="1"/>
  <c r="AE18" i="34"/>
  <c r="AF28" i="35"/>
  <c r="AD28" i="35" s="1"/>
  <c r="AL10" i="27"/>
  <c r="AF20" i="35"/>
  <c r="AD20" i="35" s="1"/>
  <c r="AE10" i="34"/>
  <c r="AF16" i="35"/>
  <c r="AD16" i="35" s="1"/>
  <c r="AE15" i="34"/>
  <c r="AF25" i="35"/>
  <c r="AD25" i="35" s="1"/>
  <c r="AG10" i="34"/>
  <c r="AF13" i="35"/>
  <c r="AD13" i="35" s="1"/>
  <c r="AE11" i="34"/>
  <c r="AD11" i="34" s="1"/>
  <c r="AF9" i="35"/>
  <c r="AD9" i="35" s="1"/>
  <c r="AE9" i="34"/>
  <c r="AD9" i="34" s="1"/>
  <c r="AF11" i="35"/>
  <c r="AD11" i="35" s="1"/>
  <c r="AF32" i="29"/>
  <c r="AD32" i="29" s="1"/>
  <c r="AE17" i="34"/>
  <c r="AL7" i="33"/>
  <c r="AG16" i="34"/>
  <c r="AF9" i="33"/>
  <c r="AE8" i="34"/>
  <c r="AF26" i="30"/>
  <c r="AD26" i="30" s="1"/>
  <c r="AG17" i="34"/>
  <c r="AG9" i="26"/>
  <c r="AG13" i="34"/>
  <c r="AE10" i="24"/>
  <c r="AE12" i="34"/>
  <c r="AI16" i="24"/>
  <c r="AD16" i="24" s="1"/>
  <c r="AG12" i="34"/>
  <c r="AE16" i="32"/>
  <c r="AE16" i="34"/>
  <c r="AD16" i="34" s="1"/>
  <c r="AJ9" i="33"/>
  <c r="AG15" i="34"/>
  <c r="AD18" i="34"/>
  <c r="AH11" i="33"/>
  <c r="AF10" i="33"/>
  <c r="AF7" i="33"/>
  <c r="AF8" i="33"/>
  <c r="AJ11" i="33"/>
  <c r="AH8" i="33"/>
  <c r="AJ9" i="27"/>
  <c r="AJ10" i="33"/>
  <c r="AH9" i="27"/>
  <c r="AH10" i="33"/>
  <c r="AD10" i="33" s="1"/>
  <c r="AF15" i="27"/>
  <c r="AF11" i="33"/>
  <c r="AG12" i="24"/>
  <c r="AH12" i="33"/>
  <c r="AG10" i="24"/>
  <c r="AJ12" i="33"/>
  <c r="AG15" i="25"/>
  <c r="AH9" i="33"/>
  <c r="AE14" i="24"/>
  <c r="AF12" i="33"/>
  <c r="AG9" i="25"/>
  <c r="AJ8" i="33"/>
  <c r="AJ18" i="31"/>
  <c r="AK17" i="24"/>
  <c r="AG12" i="25"/>
  <c r="AG9" i="24"/>
  <c r="AD9" i="24" s="1"/>
  <c r="AF10" i="27"/>
  <c r="AG13" i="24"/>
  <c r="AE10" i="25"/>
  <c r="AE13" i="24"/>
  <c r="AD13" i="24" s="1"/>
  <c r="AG17" i="25"/>
  <c r="AG11" i="24"/>
  <c r="AE18" i="26"/>
  <c r="AG15" i="24"/>
  <c r="AE18" i="25"/>
  <c r="AE11" i="24"/>
  <c r="AD11" i="24" s="1"/>
  <c r="AF16" i="27"/>
  <c r="AE15" i="24"/>
  <c r="AD15" i="24" s="1"/>
  <c r="AE9" i="25"/>
  <c r="AE12" i="24"/>
  <c r="AD14" i="24"/>
  <c r="AH12" i="21"/>
  <c r="AG18" i="25"/>
  <c r="AG11" i="26"/>
  <c r="AG14" i="25"/>
  <c r="AH15" i="27"/>
  <c r="AE13" i="25"/>
  <c r="AE14" i="26"/>
  <c r="AD14" i="26" s="1"/>
  <c r="AE11" i="25"/>
  <c r="AF15" i="30"/>
  <c r="AD15" i="30" s="1"/>
  <c r="AG16" i="25"/>
  <c r="AD16" i="25" s="1"/>
  <c r="AF17" i="27"/>
  <c r="AE14" i="25"/>
  <c r="AD14" i="25" s="1"/>
  <c r="AH10" i="31"/>
  <c r="AG11" i="25"/>
  <c r="AH16" i="27"/>
  <c r="AG10" i="25"/>
  <c r="AH17" i="27"/>
  <c r="AE12" i="25"/>
  <c r="AH8" i="27"/>
  <c r="AE17" i="25"/>
  <c r="AJ15" i="27"/>
  <c r="AG13" i="25"/>
  <c r="AH7" i="27"/>
  <c r="AE15" i="25"/>
  <c r="AD15" i="25" s="1"/>
  <c r="AG17" i="26"/>
  <c r="AN10" i="27"/>
  <c r="AE17" i="26"/>
  <c r="AD17" i="26" s="1"/>
  <c r="AF8" i="27"/>
  <c r="AI19" i="26"/>
  <c r="AH10" i="27"/>
  <c r="AG13" i="26"/>
  <c r="AJ14" i="27"/>
  <c r="AF21" i="29"/>
  <c r="AD21" i="29" s="1"/>
  <c r="AJ8" i="27"/>
  <c r="AE12" i="26"/>
  <c r="AF9" i="27"/>
  <c r="AE10" i="26"/>
  <c r="AF7" i="27"/>
  <c r="AE15" i="26"/>
  <c r="AF14" i="27"/>
  <c r="AE13" i="26"/>
  <c r="AH14" i="27"/>
  <c r="AG10" i="26"/>
  <c r="AJ7" i="27"/>
  <c r="AF8" i="29"/>
  <c r="AD8" i="29" s="1"/>
  <c r="AG16" i="26"/>
  <c r="AF23" i="29"/>
  <c r="AD23" i="29" s="1"/>
  <c r="AG15" i="26"/>
  <c r="AF10" i="29"/>
  <c r="AD10" i="29" s="1"/>
  <c r="AE11" i="26"/>
  <c r="AE19" i="32"/>
  <c r="AE9" i="26"/>
  <c r="AF16" i="29"/>
  <c r="AD16" i="29" s="1"/>
  <c r="AE16" i="26"/>
  <c r="AF28" i="30"/>
  <c r="AD28" i="30" s="1"/>
  <c r="AG18" i="26"/>
  <c r="AI15" i="32"/>
  <c r="AK19" i="26"/>
  <c r="AF18" i="31"/>
  <c r="AE19" i="26"/>
  <c r="AF17" i="28"/>
  <c r="AD17" i="28" s="1"/>
  <c r="AG12" i="26"/>
  <c r="AF9" i="28"/>
  <c r="AD9" i="28" s="1"/>
  <c r="AF29" i="29"/>
  <c r="AD29" i="29" s="1"/>
  <c r="AJ15" i="31"/>
  <c r="AF28" i="29"/>
  <c r="AD28" i="29" s="1"/>
  <c r="AF21" i="30"/>
  <c r="AD21" i="30" s="1"/>
  <c r="AF25" i="29"/>
  <c r="AD25" i="29" s="1"/>
  <c r="AF13" i="28"/>
  <c r="AD13" i="28" s="1"/>
  <c r="AF22" i="29"/>
  <c r="AD22" i="29" s="1"/>
  <c r="AF11" i="31"/>
  <c r="AF30" i="29"/>
  <c r="AD30" i="29" s="1"/>
  <c r="AF33" i="30"/>
  <c r="AD33" i="30" s="1"/>
  <c r="AF31" i="29"/>
  <c r="AD31" i="29" s="1"/>
  <c r="AF15" i="28"/>
  <c r="AD15" i="28" s="1"/>
  <c r="AF17" i="29"/>
  <c r="AD17" i="29" s="1"/>
  <c r="AF21" i="28"/>
  <c r="AD21" i="28" s="1"/>
  <c r="AF7" i="29"/>
  <c r="AD7" i="29" s="1"/>
  <c r="AH14" i="31"/>
  <c r="AF24" i="29"/>
  <c r="AD24" i="29" s="1"/>
  <c r="AF16" i="28"/>
  <c r="AD16" i="28" s="1"/>
  <c r="AF9" i="29"/>
  <c r="AD9" i="29" s="1"/>
  <c r="AH15" i="31"/>
  <c r="AF15" i="29"/>
  <c r="AD15" i="29" s="1"/>
  <c r="AF18" i="28"/>
  <c r="AD18" i="28" s="1"/>
  <c r="AF14" i="29"/>
  <c r="AD14" i="29" s="1"/>
  <c r="AH9" i="31"/>
  <c r="AF23" i="28"/>
  <c r="AD23" i="28" s="1"/>
  <c r="AF15" i="31"/>
  <c r="AF22" i="28"/>
  <c r="AD22" i="28" s="1"/>
  <c r="AF16" i="31"/>
  <c r="AF19" i="28"/>
  <c r="AD19" i="28" s="1"/>
  <c r="AG16" i="32"/>
  <c r="AD16" i="32" s="1"/>
  <c r="AF14" i="28"/>
  <c r="AD14" i="28" s="1"/>
  <c r="AJ16" i="31"/>
  <c r="AF11" i="28"/>
  <c r="AD11" i="28" s="1"/>
  <c r="AH13" i="31"/>
  <c r="AF12" i="28"/>
  <c r="AD12" i="28" s="1"/>
  <c r="AJ14" i="31"/>
  <c r="AF10" i="28"/>
  <c r="AD10" i="28" s="1"/>
  <c r="AJ17" i="31"/>
  <c r="AF20" i="28"/>
  <c r="AD20" i="28" s="1"/>
  <c r="AF29" i="30"/>
  <c r="AD29" i="30" s="1"/>
  <c r="AF17" i="31"/>
  <c r="AE8" i="32"/>
  <c r="AF10" i="31"/>
  <c r="AG19" i="32"/>
  <c r="AD19" i="32" s="1"/>
  <c r="AJ13" i="31"/>
  <c r="AD15" i="31"/>
  <c r="AE24" i="32"/>
  <c r="AH16" i="31"/>
  <c r="AD16" i="31" s="1"/>
  <c r="AG23" i="32"/>
  <c r="AD23" i="32" s="1"/>
  <c r="AF12" i="31"/>
  <c r="AD12" i="31" s="1"/>
  <c r="AE15" i="32"/>
  <c r="AF13" i="31"/>
  <c r="AE22" i="32"/>
  <c r="AH17" i="31"/>
  <c r="AE17" i="32"/>
  <c r="AF9" i="31"/>
  <c r="AG8" i="32"/>
  <c r="AJ10" i="31"/>
  <c r="AG21" i="32"/>
  <c r="AJ11" i="31"/>
  <c r="AF27" i="30"/>
  <c r="AD27" i="30" s="1"/>
  <c r="AH18" i="31"/>
  <c r="AJ7" i="21"/>
  <c r="AJ9" i="31"/>
  <c r="AE21" i="32"/>
  <c r="AD21" i="32" s="1"/>
  <c r="AH11" i="31"/>
  <c r="AD11" i="31" s="1"/>
  <c r="AE13" i="32"/>
  <c r="AF14" i="31"/>
  <c r="AE10" i="32"/>
  <c r="AF8" i="31"/>
  <c r="AK15" i="32"/>
  <c r="AH8" i="31"/>
  <c r="AG10" i="32"/>
  <c r="AJ8" i="31"/>
  <c r="AF18" i="30"/>
  <c r="AD18" i="30" s="1"/>
  <c r="AG18" i="32"/>
  <c r="AF20" i="30"/>
  <c r="AD20" i="30" s="1"/>
  <c r="AG9" i="32"/>
  <c r="AF11" i="30"/>
  <c r="AD11" i="30" s="1"/>
  <c r="AG12" i="32"/>
  <c r="AG8" i="26"/>
  <c r="AG11" i="32"/>
  <c r="AF25" i="30"/>
  <c r="AD25" i="30" s="1"/>
  <c r="AG13" i="32"/>
  <c r="AJ10" i="21"/>
  <c r="AG20" i="32"/>
  <c r="AF30" i="30"/>
  <c r="AD30" i="30" s="1"/>
  <c r="AG14" i="32"/>
  <c r="AH7" i="21"/>
  <c r="AG17" i="32"/>
  <c r="AJ11" i="21"/>
  <c r="AG22" i="32"/>
  <c r="AH10" i="21"/>
  <c r="AE20" i="32"/>
  <c r="AF10" i="21"/>
  <c r="AD10" i="21" s="1"/>
  <c r="AE11" i="32"/>
  <c r="AF12" i="30"/>
  <c r="AD12" i="30" s="1"/>
  <c r="AE18" i="32"/>
  <c r="AF10" i="30"/>
  <c r="AD10" i="30" s="1"/>
  <c r="AE14" i="32"/>
  <c r="AF22" i="30"/>
  <c r="AD22" i="30" s="1"/>
  <c r="AE12" i="32"/>
  <c r="AF17" i="30"/>
  <c r="AD17" i="30" s="1"/>
  <c r="AE9" i="32"/>
  <c r="AJ8" i="21"/>
  <c r="AH11" i="21"/>
  <c r="AF24" i="30"/>
  <c r="AD24" i="30" s="1"/>
  <c r="AF7" i="21"/>
  <c r="AF31" i="30"/>
  <c r="AD31" i="30" s="1"/>
  <c r="AH9" i="21"/>
  <c r="AF14" i="30"/>
  <c r="AD14" i="30" s="1"/>
  <c r="AF8" i="21"/>
  <c r="AF16" i="30"/>
  <c r="AD16" i="30" s="1"/>
  <c r="AF12" i="21"/>
  <c r="AF23" i="30"/>
  <c r="AD23" i="30" s="1"/>
  <c r="AH8" i="21"/>
  <c r="AF19" i="30"/>
  <c r="AD19" i="30" s="1"/>
  <c r="AF9" i="21"/>
  <c r="AF9" i="30"/>
  <c r="AD9" i="30" s="1"/>
  <c r="AE8" i="24"/>
  <c r="AF11" i="21"/>
  <c r="AG8" i="25"/>
  <c r="AJ12" i="21"/>
  <c r="AE8" i="26"/>
  <c r="AJ9" i="21"/>
  <c r="AG8" i="24"/>
  <c r="AE8" i="25"/>
  <c r="N61" i="4"/>
  <c r="K61" i="4"/>
  <c r="K62" i="4"/>
  <c r="N62" i="4"/>
  <c r="N54" i="4"/>
  <c r="K54" i="4"/>
  <c r="K55" i="4"/>
  <c r="N55" i="4"/>
  <c r="N50" i="4"/>
  <c r="K50" i="4"/>
  <c r="N46" i="4"/>
  <c r="K46" i="4"/>
  <c r="N42" i="4"/>
  <c r="K42" i="4"/>
  <c r="K49" i="4"/>
  <c r="N49" i="4"/>
  <c r="K45" i="4"/>
  <c r="N45" i="4"/>
  <c r="N38" i="4"/>
  <c r="K38" i="4"/>
  <c r="N34" i="4"/>
  <c r="K34" i="4"/>
  <c r="N30" i="4"/>
  <c r="K30" i="4"/>
  <c r="N26" i="4"/>
  <c r="K26" i="4"/>
  <c r="N22" i="4"/>
  <c r="K22" i="4"/>
  <c r="N18" i="4"/>
  <c r="K18" i="4"/>
  <c r="N14" i="4"/>
  <c r="K14" i="4"/>
  <c r="AF65" i="4"/>
  <c r="AE65" i="4"/>
  <c r="N63" i="4"/>
  <c r="K63" i="4"/>
  <c r="N59" i="4"/>
  <c r="K59" i="4"/>
  <c r="K57" i="4"/>
  <c r="N57" i="4"/>
  <c r="N48" i="4"/>
  <c r="K48" i="4"/>
  <c r="K51" i="4"/>
  <c r="N51" i="4"/>
  <c r="N36" i="4"/>
  <c r="K36" i="4"/>
  <c r="N28" i="4"/>
  <c r="K28" i="4"/>
  <c r="N24" i="4"/>
  <c r="K24" i="4"/>
  <c r="N20" i="4"/>
  <c r="K20" i="4"/>
  <c r="N16" i="4"/>
  <c r="K16" i="4"/>
  <c r="N58" i="4"/>
  <c r="K58" i="4"/>
  <c r="K53" i="4"/>
  <c r="N53" i="4"/>
  <c r="K41" i="4"/>
  <c r="N41" i="4"/>
  <c r="N8" i="4"/>
  <c r="K8" i="4"/>
  <c r="K35" i="4"/>
  <c r="N35" i="4"/>
  <c r="K31" i="4"/>
  <c r="N31" i="4"/>
  <c r="K27" i="4"/>
  <c r="N27" i="4"/>
  <c r="K23" i="4"/>
  <c r="N23" i="4"/>
  <c r="K19" i="4"/>
  <c r="N19" i="4"/>
  <c r="K15" i="4"/>
  <c r="N15" i="4"/>
  <c r="K11" i="4"/>
  <c r="N11" i="4"/>
  <c r="K12" i="4"/>
  <c r="N12" i="4"/>
  <c r="K64" i="4"/>
  <c r="N64" i="4"/>
  <c r="K60" i="4"/>
  <c r="N60" i="4"/>
  <c r="N56" i="4"/>
  <c r="K56" i="4"/>
  <c r="N52" i="4"/>
  <c r="K52" i="4"/>
  <c r="N44" i="4"/>
  <c r="K44" i="4"/>
  <c r="N40" i="4"/>
  <c r="K40" i="4"/>
  <c r="K47" i="4"/>
  <c r="N47" i="4"/>
  <c r="K43" i="4"/>
  <c r="N43" i="4"/>
  <c r="K39" i="4"/>
  <c r="N39" i="4"/>
  <c r="N32" i="4"/>
  <c r="K32" i="4"/>
  <c r="N10" i="4"/>
  <c r="K10" i="4"/>
  <c r="K37" i="4"/>
  <c r="N37" i="4"/>
  <c r="K33" i="4"/>
  <c r="N33" i="4"/>
  <c r="K29" i="4"/>
  <c r="N29" i="4"/>
  <c r="K25" i="4"/>
  <c r="N25" i="4"/>
  <c r="K21" i="4"/>
  <c r="N21" i="4"/>
  <c r="K17" i="4"/>
  <c r="N17" i="4"/>
  <c r="K13" i="4"/>
  <c r="N13" i="4"/>
  <c r="K9" i="4"/>
  <c r="N9" i="4"/>
  <c r="AD22" i="32" l="1"/>
  <c r="AD17" i="32"/>
  <c r="AD24" i="32"/>
  <c r="AD13" i="34"/>
  <c r="AD18" i="31"/>
  <c r="AD12" i="26"/>
  <c r="AD11" i="26"/>
  <c r="AD16" i="27"/>
  <c r="AD18" i="26"/>
  <c r="AD10" i="24"/>
  <c r="AD9" i="26"/>
  <c r="AD17" i="24"/>
  <c r="AD8" i="34"/>
  <c r="AD7" i="33"/>
  <c r="AD15" i="34"/>
  <c r="AD10" i="34"/>
  <c r="AD9" i="27"/>
  <c r="AD17" i="25"/>
  <c r="AD12" i="24"/>
  <c r="AD9" i="33"/>
  <c r="AD12" i="34"/>
  <c r="AD17" i="34"/>
  <c r="AD8" i="32"/>
  <c r="AD15" i="26"/>
  <c r="AD9" i="25"/>
  <c r="AD8" i="33"/>
  <c r="AD12" i="33"/>
  <c r="AD9" i="21"/>
  <c r="AD12" i="21"/>
  <c r="AD11" i="33"/>
  <c r="AD11" i="21"/>
  <c r="AD10" i="25"/>
  <c r="AD7" i="21"/>
  <c r="AD13" i="31"/>
  <c r="AD15" i="27"/>
  <c r="AD17" i="27"/>
  <c r="AD18" i="25"/>
  <c r="AD13" i="26"/>
  <c r="AD9" i="32"/>
  <c r="AD12" i="32"/>
  <c r="AD18" i="32"/>
  <c r="AD11" i="32"/>
  <c r="AD15" i="32"/>
  <c r="AD13" i="32"/>
  <c r="AD19" i="26"/>
  <c r="AD10" i="27"/>
  <c r="AD12" i="25"/>
  <c r="AD8" i="26"/>
  <c r="AD14" i="31"/>
  <c r="AD16" i="26"/>
  <c r="AD11" i="25"/>
  <c r="AD13" i="25"/>
  <c r="AD14" i="27"/>
  <c r="AD7" i="27"/>
  <c r="AD8" i="27"/>
  <c r="AD14" i="32"/>
  <c r="AD20" i="32"/>
  <c r="AD10" i="26"/>
  <c r="AD9" i="31"/>
  <c r="AD10" i="31"/>
  <c r="AD17" i="31"/>
  <c r="AD10" i="32"/>
  <c r="AD8" i="31"/>
  <c r="AD8" i="25"/>
  <c r="AD8" i="21"/>
  <c r="AD8" i="24"/>
  <c r="L9" i="4"/>
  <c r="O9" i="4"/>
  <c r="O13" i="4"/>
  <c r="O17" i="4"/>
  <c r="O21" i="4"/>
  <c r="O25" i="4"/>
  <c r="O29" i="4"/>
  <c r="O33" i="4"/>
  <c r="O37" i="4"/>
  <c r="L10" i="4"/>
  <c r="L32" i="4"/>
  <c r="O39" i="4"/>
  <c r="O43" i="4"/>
  <c r="O47" i="4"/>
  <c r="L40" i="4"/>
  <c r="L44" i="4"/>
  <c r="L52" i="4"/>
  <c r="L56" i="4"/>
  <c r="O60" i="4"/>
  <c r="O64" i="4"/>
  <c r="O12" i="4"/>
  <c r="O11" i="4"/>
  <c r="O15" i="4"/>
  <c r="O19" i="4"/>
  <c r="O23" i="4"/>
  <c r="O27" i="4"/>
  <c r="O31" i="4"/>
  <c r="O35" i="4"/>
  <c r="L8" i="4"/>
  <c r="O41" i="4"/>
  <c r="O53" i="4"/>
  <c r="L58" i="4"/>
  <c r="L16" i="4"/>
  <c r="L20" i="4"/>
  <c r="L24" i="4"/>
  <c r="L28" i="4"/>
  <c r="L36" i="4"/>
  <c r="O51" i="4"/>
  <c r="L48" i="4"/>
  <c r="O57" i="4"/>
  <c r="L59" i="4"/>
  <c r="L63" i="4"/>
  <c r="L14" i="4"/>
  <c r="L18" i="4"/>
  <c r="L22" i="4"/>
  <c r="L26" i="4"/>
  <c r="L30" i="4"/>
  <c r="L34" i="4"/>
  <c r="L38" i="4"/>
  <c r="O45" i="4"/>
  <c r="O49" i="4"/>
  <c r="L42" i="4"/>
  <c r="L46" i="4"/>
  <c r="L50" i="4"/>
  <c r="O55" i="4"/>
  <c r="L54" i="4"/>
  <c r="O62" i="4"/>
  <c r="L61" i="4"/>
  <c r="L13" i="4"/>
  <c r="L17" i="4"/>
  <c r="L21" i="4"/>
  <c r="L25" i="4"/>
  <c r="L29" i="4"/>
  <c r="L33" i="4"/>
  <c r="L37" i="4"/>
  <c r="O10" i="4"/>
  <c r="O32" i="4"/>
  <c r="L39" i="4"/>
  <c r="L43" i="4"/>
  <c r="L47" i="4"/>
  <c r="O40" i="4"/>
  <c r="O44" i="4"/>
  <c r="O52" i="4"/>
  <c r="O56" i="4"/>
  <c r="L60" i="4"/>
  <c r="L64" i="4"/>
  <c r="L12" i="4"/>
  <c r="L11" i="4"/>
  <c r="L15" i="4"/>
  <c r="L19" i="4"/>
  <c r="L23" i="4"/>
  <c r="L27" i="4"/>
  <c r="L31" i="4"/>
  <c r="L35" i="4"/>
  <c r="O8" i="4"/>
  <c r="L41" i="4"/>
  <c r="L53" i="4"/>
  <c r="O58" i="4"/>
  <c r="O16" i="4"/>
  <c r="O20" i="4"/>
  <c r="O24" i="4"/>
  <c r="O28" i="4"/>
  <c r="O36" i="4"/>
  <c r="L51" i="4"/>
  <c r="O48" i="4"/>
  <c r="L57" i="4"/>
  <c r="O59" i="4"/>
  <c r="O63" i="4"/>
  <c r="O14" i="4"/>
  <c r="O18" i="4"/>
  <c r="O22" i="4"/>
  <c r="O26" i="4"/>
  <c r="O30" i="4"/>
  <c r="O34" i="4"/>
  <c r="O38" i="4"/>
  <c r="L45" i="4"/>
  <c r="L49" i="4"/>
  <c r="O42" i="4"/>
  <c r="O46" i="4"/>
  <c r="O50" i="4"/>
  <c r="L55" i="4"/>
  <c r="O54" i="4"/>
  <c r="L62" i="4"/>
  <c r="O61" i="4"/>
  <c r="AD8" i="23" l="1"/>
  <c r="B45" i="4"/>
  <c r="E45" i="4"/>
  <c r="B41" i="4"/>
  <c r="E41" i="4"/>
  <c r="E35" i="4"/>
  <c r="D27" i="4"/>
  <c r="E27" i="4"/>
  <c r="E19" i="4"/>
  <c r="E11" i="4"/>
  <c r="E60" i="4"/>
  <c r="E43" i="4"/>
  <c r="D37" i="4"/>
  <c r="E37" i="4"/>
  <c r="B29" i="4"/>
  <c r="E29" i="4"/>
  <c r="E21" i="4"/>
  <c r="E13" i="4"/>
  <c r="E61" i="4"/>
  <c r="E46" i="4"/>
  <c r="E38" i="4"/>
  <c r="D38" i="4"/>
  <c r="B38" i="4"/>
  <c r="E30" i="4"/>
  <c r="E22" i="4"/>
  <c r="B22" i="4"/>
  <c r="E14" i="4"/>
  <c r="E63" i="4"/>
  <c r="D63" i="4"/>
  <c r="E28" i="4"/>
  <c r="E20" i="4"/>
  <c r="E8" i="4"/>
  <c r="E56" i="4"/>
  <c r="B56" i="4"/>
  <c r="E44" i="4"/>
  <c r="E10" i="4"/>
  <c r="E62" i="4"/>
  <c r="E55" i="4"/>
  <c r="B49" i="4"/>
  <c r="E49" i="4"/>
  <c r="D57" i="4"/>
  <c r="E57" i="4"/>
  <c r="E51" i="4"/>
  <c r="E53" i="4"/>
  <c r="E31" i="4"/>
  <c r="E23" i="4"/>
  <c r="E15" i="4"/>
  <c r="E12" i="4"/>
  <c r="E64" i="4"/>
  <c r="E47" i="4"/>
  <c r="D39" i="4"/>
  <c r="E39" i="4"/>
  <c r="E33" i="4"/>
  <c r="E25" i="4"/>
  <c r="E17" i="4"/>
  <c r="E9" i="4"/>
  <c r="E54" i="4"/>
  <c r="E50" i="4"/>
  <c r="E42" i="4"/>
  <c r="E34" i="4"/>
  <c r="B34" i="4"/>
  <c r="E26" i="4"/>
  <c r="E18" i="4"/>
  <c r="E59" i="4"/>
  <c r="E48" i="4"/>
  <c r="E36" i="4"/>
  <c r="E24" i="4"/>
  <c r="E16" i="4"/>
  <c r="E58" i="4"/>
  <c r="E52" i="4"/>
  <c r="E40" i="4"/>
  <c r="E32" i="4"/>
  <c r="B65" i="4" l="1"/>
  <c r="A34" i="4"/>
  <c r="C39" i="4"/>
  <c r="C57" i="4"/>
  <c r="A49" i="4"/>
  <c r="A22" i="4"/>
  <c r="C38" i="4"/>
  <c r="C27" i="4"/>
  <c r="A56" i="4"/>
  <c r="C63" i="4"/>
  <c r="A38" i="4"/>
  <c r="A29" i="4"/>
  <c r="C37" i="4"/>
  <c r="A41" i="4"/>
  <c r="A45" i="4"/>
  <c r="A65" i="4" l="1"/>
  <c r="C65" i="4"/>
</calcChain>
</file>

<file path=xl/comments1.xml><?xml version="1.0" encoding="utf-8"?>
<comments xmlns="http://schemas.openxmlformats.org/spreadsheetml/2006/main">
  <authors>
    <author>Author</author>
  </authors>
  <commentList>
    <comment ref="I3" authorId="0">
      <text>
        <r>
          <rPr>
            <b/>
            <sz val="8"/>
            <color indexed="81"/>
            <rFont val="Tahoma"/>
            <family val="2"/>
            <charset val="186"/>
          </rPr>
          <t>Osalejate arv</t>
        </r>
      </text>
    </comment>
    <comment ref="F5" authorId="0">
      <text>
        <r>
          <rPr>
            <b/>
            <sz val="8"/>
            <color indexed="81"/>
            <rFont val="Tahoma"/>
            <family val="2"/>
            <charset val="186"/>
          </rPr>
          <t>Voka, Metsa 2
Voka staadion</t>
        </r>
      </text>
    </comment>
    <comment ref="F6" authorId="0">
      <text>
        <r>
          <rPr>
            <b/>
            <sz val="8"/>
            <color indexed="81"/>
            <rFont val="Tahoma"/>
            <family val="2"/>
            <charset val="186"/>
          </rPr>
          <t>Kohtla-Järve, Järveküla tee 44
Spordihoone taga</t>
        </r>
      </text>
    </comment>
    <comment ref="F7" authorId="0">
      <text>
        <r>
          <rPr>
            <b/>
            <sz val="8"/>
            <color indexed="81"/>
            <rFont val="Tahoma"/>
            <family val="2"/>
            <charset val="186"/>
          </rPr>
          <t>Voka, Metsa 2
Voka staadion</t>
        </r>
      </text>
    </comment>
    <comment ref="D8" authorId="0">
      <text>
        <r>
          <rPr>
            <b/>
            <sz val="8"/>
            <color indexed="81"/>
            <rFont val="Tahoma"/>
            <family val="2"/>
            <charset val="186"/>
          </rPr>
          <t>6 üksikut (sh naine) x 2 punkti = 12 punkti
3 duot (sh segaduo) x 3 punkti =   9 punkti
2 triot (sh segatrio)  x 5 punkti = 10 punkti</t>
        </r>
      </text>
    </comment>
    <comment ref="F8" authorId="0">
      <text>
        <r>
          <rPr>
            <b/>
            <sz val="8"/>
            <color indexed="81"/>
            <rFont val="Tahoma"/>
            <family val="2"/>
            <charset val="186"/>
          </rPr>
          <t>Voka, Metsa 2
Voka staadion</t>
        </r>
      </text>
    </comment>
    <comment ref="H8" authorId="0">
      <text>
        <r>
          <rPr>
            <b/>
            <sz val="8"/>
            <color indexed="81"/>
            <rFont val="Tahoma"/>
            <family val="2"/>
            <charset val="186"/>
          </rPr>
          <t>50 € võistkond
Klubide karikal osalemiseks peavad olema: 
 - petankeri litsents, 
 - võistluskuulid, 
 - meeskonnal ühtne võistlussärk.</t>
        </r>
      </text>
    </comment>
    <comment ref="D9" authorId="0">
      <text>
        <r>
          <rPr>
            <b/>
            <sz val="8"/>
            <color indexed="81"/>
            <rFont val="Tahoma"/>
            <family val="2"/>
            <charset val="186"/>
          </rPr>
          <t>6 üksikut (sh naine) x 2 punkti = 12 punkti
3 duot (sh segaduo) x 3 punkti =   9 punkti
2 triot (sh segatrio)  x 5 punkti = 10 punkti</t>
        </r>
      </text>
    </comment>
    <comment ref="F9" authorId="0">
      <text>
        <r>
          <rPr>
            <b/>
            <sz val="8"/>
            <color indexed="81"/>
            <rFont val="Tahoma"/>
            <family val="2"/>
            <charset val="186"/>
          </rPr>
          <t>Voka, Metsa 2
Voka staadion</t>
        </r>
      </text>
    </comment>
    <comment ref="F10" authorId="0">
      <text>
        <r>
          <rPr>
            <b/>
            <sz val="8"/>
            <color indexed="81"/>
            <rFont val="Tahoma"/>
            <family val="2"/>
            <charset val="186"/>
          </rPr>
          <t>Kohtla-Järve, Järveküla tee 44
Spordihoone taga</t>
        </r>
      </text>
    </comment>
    <comment ref="F11" authorId="0">
      <text>
        <r>
          <rPr>
            <b/>
            <sz val="8"/>
            <color indexed="81"/>
            <rFont val="Tahoma"/>
            <family val="2"/>
            <charset val="186"/>
          </rPr>
          <t>Voka, Metsa 2
Voka staadion</t>
        </r>
      </text>
    </comment>
    <comment ref="F12" authorId="0">
      <text>
        <r>
          <rPr>
            <b/>
            <sz val="8"/>
            <color indexed="81"/>
            <rFont val="Tahoma"/>
            <family val="2"/>
            <charset val="186"/>
          </rPr>
          <t>Voka, Metsa 2
Voka staadion</t>
        </r>
      </text>
    </comment>
    <comment ref="F13" authorId="0">
      <text>
        <r>
          <rPr>
            <b/>
            <sz val="8"/>
            <color indexed="81"/>
            <rFont val="Tahoma"/>
            <family val="2"/>
            <charset val="186"/>
          </rPr>
          <t>Kohtla-Järve, Järveküla tee 44
Spordihoone taga</t>
        </r>
      </text>
    </comment>
    <comment ref="F14" authorId="0">
      <text>
        <r>
          <rPr>
            <b/>
            <sz val="8"/>
            <color indexed="81"/>
            <rFont val="Tahoma"/>
            <family val="2"/>
            <charset val="186"/>
          </rPr>
          <t>Kohtla-Järve, Järveküla tee 44
Spordihoone taga</t>
        </r>
      </text>
    </comment>
    <comment ref="F15" authorId="0">
      <text>
        <r>
          <rPr>
            <b/>
            <sz val="8"/>
            <color indexed="81"/>
            <rFont val="Tahoma"/>
            <family val="2"/>
            <charset val="186"/>
          </rPr>
          <t>Voka, Metsa 2
Voka staadion</t>
        </r>
      </text>
    </comment>
    <comment ref="F17" authorId="0">
      <text>
        <r>
          <rPr>
            <b/>
            <sz val="8"/>
            <color indexed="81"/>
            <rFont val="Tahoma"/>
            <family val="2"/>
            <charset val="186"/>
          </rPr>
          <t>Voka, Metsa 2
Voka staadion</t>
        </r>
      </text>
    </comment>
    <comment ref="F18" authorId="0">
      <text>
        <r>
          <rPr>
            <b/>
            <sz val="8"/>
            <color indexed="81"/>
            <rFont val="Tahoma"/>
            <family val="2"/>
            <charset val="186"/>
          </rPr>
          <t>Voka, Metsa 2
Voka staadion</t>
        </r>
      </text>
    </comment>
    <comment ref="F19" authorId="0">
      <text>
        <r>
          <rPr>
            <b/>
            <sz val="8"/>
            <color indexed="81"/>
            <rFont val="Tahoma"/>
            <family val="2"/>
            <charset val="186"/>
          </rPr>
          <t>Kohtla-Järve, Järveküla tee 44
Spordihoone taga</t>
        </r>
      </text>
    </comment>
    <comment ref="F20" authorId="0">
      <text>
        <r>
          <rPr>
            <b/>
            <sz val="8"/>
            <color indexed="81"/>
            <rFont val="Tahoma"/>
            <family val="2"/>
            <charset val="186"/>
          </rPr>
          <t>Voka, Metsa 2
Voka staadion</t>
        </r>
      </text>
    </comment>
    <comment ref="H20" authorId="0">
      <text>
        <r>
          <rPr>
            <b/>
            <sz val="8"/>
            <color indexed="81"/>
            <rFont val="Tahoma"/>
            <family val="2"/>
            <charset val="186"/>
          </rPr>
          <t>Juunioridel 2 €
Eesti meistrivõistlustel osalemiseks peavad olema: 
 - petankeri litsents, 
 - võistluskuulid.</t>
        </r>
      </text>
    </comment>
    <comment ref="F21" authorId="0">
      <text>
        <r>
          <rPr>
            <b/>
            <sz val="8"/>
            <color indexed="81"/>
            <rFont val="Tahoma"/>
            <family val="2"/>
            <charset val="186"/>
          </rPr>
          <t>Kohtla-Järve, Järveküla tee 44
Spordihoone taga</t>
        </r>
      </text>
    </comment>
    <comment ref="H21" authorId="0">
      <text>
        <r>
          <rPr>
            <b/>
            <sz val="8"/>
            <color indexed="81"/>
            <rFont val="Tahoma"/>
            <family val="2"/>
            <charset val="186"/>
          </rPr>
          <t>Juunioridel 2 €</t>
        </r>
      </text>
    </comment>
    <comment ref="F22" authorId="0">
      <text>
        <r>
          <rPr>
            <b/>
            <sz val="8"/>
            <color indexed="81"/>
            <rFont val="Tahoma"/>
            <family val="2"/>
            <charset val="186"/>
          </rPr>
          <t>Voka, Metsa 2
Voka staadion</t>
        </r>
      </text>
    </comment>
    <comment ref="F23" authorId="0">
      <text>
        <r>
          <rPr>
            <b/>
            <sz val="8"/>
            <color indexed="81"/>
            <rFont val="Tahoma"/>
            <family val="2"/>
            <charset val="186"/>
          </rPr>
          <t>Voka, Metsa 2
Voka staadion</t>
        </r>
      </text>
    </comment>
    <comment ref="F24" authorId="0">
      <text>
        <r>
          <rPr>
            <b/>
            <sz val="8"/>
            <color indexed="81"/>
            <rFont val="Tahoma"/>
            <family val="2"/>
            <charset val="186"/>
          </rPr>
          <t>Voka, Metsa 2
Voka staadion</t>
        </r>
      </text>
    </comment>
    <comment ref="F25" authorId="0">
      <text>
        <r>
          <rPr>
            <b/>
            <sz val="8"/>
            <color indexed="81"/>
            <rFont val="Tahoma"/>
            <family val="2"/>
            <charset val="186"/>
          </rPr>
          <t>Voka, Metsa 2
Voka staadion</t>
        </r>
      </text>
    </comment>
    <comment ref="F27" authorId="0">
      <text>
        <r>
          <rPr>
            <b/>
            <sz val="8"/>
            <color indexed="81"/>
            <rFont val="Tahoma"/>
            <family val="2"/>
            <charset val="186"/>
          </rPr>
          <t>Kohtla-Järve, Järveküla tee 44
Spordihoone taga</t>
        </r>
      </text>
    </comment>
    <comment ref="F28" authorId="0">
      <text>
        <r>
          <rPr>
            <b/>
            <sz val="8"/>
            <color indexed="81"/>
            <rFont val="Tahoma"/>
            <family val="2"/>
            <charset val="186"/>
          </rPr>
          <t>Voka, Metsa 2
Voka staadion</t>
        </r>
      </text>
    </comment>
    <comment ref="F29" authorId="0">
      <text>
        <r>
          <rPr>
            <b/>
            <sz val="8"/>
            <color indexed="81"/>
            <rFont val="Tahoma"/>
            <family val="2"/>
            <charset val="186"/>
          </rPr>
          <t>Kohtla-Järve, Järveküla tee 44
Spordihoone taga</t>
        </r>
      </text>
    </comment>
    <comment ref="F30" authorId="0">
      <text>
        <r>
          <rPr>
            <b/>
            <sz val="8"/>
            <color indexed="81"/>
            <rFont val="Tahoma"/>
            <family val="2"/>
            <charset val="186"/>
          </rPr>
          <t>Voka, Metsa 2
Voka staadion</t>
        </r>
      </text>
    </comment>
    <comment ref="F31" authorId="0">
      <text>
        <r>
          <rPr>
            <b/>
            <sz val="8"/>
            <color indexed="81"/>
            <rFont val="Tahoma"/>
            <family val="2"/>
            <charset val="186"/>
          </rPr>
          <t>Jõhvi, 
Narva mnt 139b</t>
        </r>
      </text>
    </comment>
    <comment ref="F33" authorId="0">
      <text>
        <r>
          <rPr>
            <b/>
            <sz val="8"/>
            <color indexed="81"/>
            <rFont val="Tahoma"/>
            <family val="2"/>
            <charset val="186"/>
          </rPr>
          <t>Kohtla-Järve, Järveküla tee 44
Spordihoone taga</t>
        </r>
      </text>
    </comment>
    <comment ref="F34" authorId="0">
      <text>
        <r>
          <rPr>
            <b/>
            <sz val="8"/>
            <color indexed="81"/>
            <rFont val="Tahoma"/>
            <family val="2"/>
            <charset val="186"/>
          </rPr>
          <t>Voka, Metsa 2
Voka staadion</t>
        </r>
      </text>
    </comment>
    <comment ref="F35" authorId="0">
      <text>
        <r>
          <rPr>
            <b/>
            <sz val="8"/>
            <color indexed="81"/>
            <rFont val="Tahoma"/>
            <family val="2"/>
            <charset val="186"/>
          </rPr>
          <t>Kohtla-Järve, Järveküla tee 44
Spordihoone taga</t>
        </r>
      </text>
    </comment>
    <comment ref="F36" authorId="0">
      <text>
        <r>
          <rPr>
            <b/>
            <sz val="8"/>
            <color indexed="81"/>
            <rFont val="Tahoma"/>
            <family val="2"/>
            <charset val="186"/>
          </rPr>
          <t>Voka, Metsa 2
Voka staadion</t>
        </r>
      </text>
    </comment>
    <comment ref="F37" authorId="0">
      <text>
        <r>
          <rPr>
            <b/>
            <sz val="8"/>
            <color indexed="81"/>
            <rFont val="Tahoma"/>
            <family val="2"/>
            <charset val="186"/>
          </rPr>
          <t>Voka, Metsa 2
Voka staadion</t>
        </r>
      </text>
    </comment>
    <comment ref="F39" authorId="0">
      <text>
        <r>
          <rPr>
            <b/>
            <sz val="8"/>
            <color indexed="81"/>
            <rFont val="Tahoma"/>
            <family val="2"/>
            <charset val="186"/>
          </rPr>
          <t>Jõhvi, 
Narva mnt 139b</t>
        </r>
      </text>
    </comment>
    <comment ref="F40" authorId="0">
      <text>
        <r>
          <rPr>
            <b/>
            <sz val="8"/>
            <color indexed="81"/>
            <rFont val="Tahoma"/>
            <family val="2"/>
            <charset val="186"/>
          </rPr>
          <t>Voka, Metsa 2
Voka staadion</t>
        </r>
      </text>
    </comment>
    <comment ref="F41" authorId="0">
      <text>
        <r>
          <rPr>
            <b/>
            <sz val="8"/>
            <color indexed="81"/>
            <rFont val="Tahoma"/>
            <family val="2"/>
            <charset val="186"/>
          </rPr>
          <t>Voka, Metsa 2
Voka staadion</t>
        </r>
      </text>
    </comment>
    <comment ref="F42" authorId="0">
      <text>
        <r>
          <rPr>
            <b/>
            <sz val="8"/>
            <color indexed="81"/>
            <rFont val="Tahoma"/>
            <family val="2"/>
            <charset val="186"/>
          </rPr>
          <t>Voka, Narva mnt 2
Voka petangihall</t>
        </r>
      </text>
    </comment>
    <comment ref="F43" authorId="0">
      <text>
        <r>
          <rPr>
            <b/>
            <sz val="8"/>
            <color indexed="81"/>
            <rFont val="Tahoma"/>
            <family val="2"/>
            <charset val="186"/>
          </rPr>
          <t>Voka, Narva mnt 2
Voka petangihall</t>
        </r>
      </text>
    </comment>
    <comment ref="F45" authorId="0">
      <text>
        <r>
          <rPr>
            <b/>
            <sz val="8"/>
            <color indexed="81"/>
            <rFont val="Tahoma"/>
            <family val="2"/>
            <charset val="186"/>
          </rPr>
          <t>Kohtla-Järve, Järveküla tee 44
Spordihoone taga</t>
        </r>
      </text>
    </comment>
    <comment ref="F46" authorId="0">
      <text>
        <r>
          <rPr>
            <b/>
            <sz val="8"/>
            <color indexed="81"/>
            <rFont val="Tahoma"/>
            <family val="2"/>
            <charset val="186"/>
          </rPr>
          <t>Voka, Metsa 2
Voka staadion</t>
        </r>
      </text>
    </comment>
    <comment ref="F47" authorId="0">
      <text>
        <r>
          <rPr>
            <b/>
            <sz val="8"/>
            <color indexed="81"/>
            <rFont val="Tahoma"/>
            <family val="2"/>
            <charset val="186"/>
          </rPr>
          <t>Voka, Metsa 2
Voka staadion</t>
        </r>
      </text>
    </comment>
  </commentList>
</comments>
</file>

<file path=xl/comments10.xml><?xml version="1.0" encoding="utf-8"?>
<comments xmlns="http://schemas.openxmlformats.org/spreadsheetml/2006/main">
  <authors>
    <author>Author</author>
  </authors>
  <commentList>
    <comment ref="AL1" authorId="0">
      <text>
        <r>
          <rPr>
            <b/>
            <sz val="8"/>
            <color indexed="81"/>
            <rFont val="Tahoma"/>
            <family val="2"/>
            <charset val="186"/>
          </rPr>
          <t>Koht - Punkte
  1. - 20 p
  2. - 19 p
  3. - 18 p
  4. - 17 p
  5. - 16 p
  6. - 15 p
  7. - 14 p
  8. - 13 p
  9. - 12 p
10. - 11 p
11. - 10 p
12. -   9 p
13. -   8 p
14. -   7 p
15. -   6 p
16. -   5 p
17. -   4 p
18. -   3 p
19. -   2 p
20… - 1 p
DSQ - 0 p</t>
        </r>
      </text>
    </comment>
    <comment ref="AW3" authorId="0">
      <text>
        <r>
          <rPr>
            <b/>
            <sz val="8"/>
            <color indexed="81"/>
            <rFont val="Tahoma"/>
            <family val="2"/>
            <charset val="186"/>
          </rPr>
          <t xml:space="preserve">Kehvemate tulemuste läbitõmbamise </t>
        </r>
        <r>
          <rPr>
            <b/>
            <strike/>
            <sz val="8"/>
            <color indexed="40"/>
            <rFont val="Tahoma"/>
            <family val="2"/>
            <charset val="186"/>
          </rPr>
          <t>format</t>
        </r>
        <r>
          <rPr>
            <b/>
            <sz val="8"/>
            <color indexed="81"/>
            <rFont val="Tahoma"/>
            <family val="2"/>
            <charset val="186"/>
          </rPr>
          <t xml:space="preserve"> kasutab seda veergu</t>
        </r>
      </text>
    </comment>
    <comment ref="A6" authorId="0">
      <text>
        <r>
          <rPr>
            <b/>
            <sz val="8"/>
            <color indexed="81"/>
            <rFont val="Tahoma"/>
            <family val="2"/>
            <charset val="186"/>
          </rPr>
          <t>Viru SK mängijad</t>
        </r>
        <r>
          <rPr>
            <sz val="8"/>
            <color indexed="81"/>
            <rFont val="Tahoma"/>
            <family val="2"/>
            <charset val="186"/>
          </rPr>
          <t xml:space="preserve">
</t>
        </r>
      </text>
    </comment>
    <comment ref="P6" authorId="0">
      <text>
        <r>
          <rPr>
            <b/>
            <sz val="8"/>
            <color indexed="81"/>
            <rFont val="Tahoma"/>
            <family val="2"/>
            <charset val="186"/>
          </rPr>
          <t>Kohalikud mängijad</t>
        </r>
        <r>
          <rPr>
            <sz val="8"/>
            <color indexed="81"/>
            <rFont val="Tahoma"/>
            <family val="2"/>
            <charset val="186"/>
          </rPr>
          <t xml:space="preserve">
</t>
        </r>
      </text>
    </comment>
    <comment ref="Q6" authorId="0">
      <text>
        <r>
          <rPr>
            <b/>
            <sz val="8"/>
            <color indexed="81"/>
            <rFont val="Tahoma"/>
            <family val="2"/>
            <charset val="186"/>
          </rPr>
          <t>Viru SK mängijad seisuga 16.02.2019</t>
        </r>
      </text>
    </comment>
    <comment ref="R6" authorId="0">
      <text>
        <r>
          <rPr>
            <b/>
            <sz val="8"/>
            <color indexed="81"/>
            <rFont val="Tahoma"/>
            <family val="2"/>
            <charset val="186"/>
          </rPr>
          <t>1 kehvem tulemus võetakse maha</t>
        </r>
      </text>
    </comment>
    <comment ref="P56" authorId="0">
      <text>
        <r>
          <rPr>
            <b/>
            <sz val="8"/>
            <color indexed="81"/>
            <rFont val="Tahoma"/>
            <family val="2"/>
            <charset val="186"/>
          </rPr>
          <t>Elab Voka
Toila KK 1978</t>
        </r>
      </text>
    </comment>
    <comment ref="O57" authorId="0">
      <text>
        <r>
          <rPr>
            <b/>
            <sz val="8"/>
            <color indexed="81"/>
            <rFont val="Tahoma"/>
            <family val="2"/>
            <charset val="186"/>
          </rPr>
          <t>sünd. 2005</t>
        </r>
      </text>
    </comment>
    <comment ref="AG64" authorId="0">
      <text>
        <r>
          <rPr>
            <b/>
            <sz val="8"/>
            <color indexed="81"/>
            <rFont val="Tahoma"/>
            <family val="2"/>
            <charset val="186"/>
          </rPr>
          <t>ilma valemita</t>
        </r>
      </text>
    </comment>
  </commentList>
</comments>
</file>

<file path=xl/comments2.xml><?xml version="1.0" encoding="utf-8"?>
<comments xmlns="http://schemas.openxmlformats.org/spreadsheetml/2006/main">
  <authors>
    <author>Author</author>
  </authors>
  <commentList>
    <comment ref="K5" authorId="0">
      <text>
        <r>
          <rPr>
            <b/>
            <sz val="8"/>
            <color indexed="81"/>
            <rFont val="Tahoma"/>
            <family val="2"/>
            <charset val="186"/>
          </rPr>
          <t>5-liikmelised võistkonnad, kelle koosseisus on vähemalt 1 naine. 
Võistkonnas võib olla ka varumängija (6. liige), kuid iga mängu (ühe vastase vastu peetavad mängud) puhul peab võistkonnas olema vähemalt 1 naine.</t>
        </r>
      </text>
    </comment>
    <comment ref="K6" authorId="0">
      <text>
        <r>
          <rPr>
            <b/>
            <sz val="8"/>
            <color indexed="81"/>
            <rFont val="Tahoma"/>
            <family val="2"/>
            <charset val="186"/>
          </rPr>
          <t>Tartu, Lossi 25 
Toomkiriku varemed</t>
        </r>
      </text>
    </comment>
    <comment ref="F7" authorId="0">
      <text>
        <r>
          <rPr>
            <b/>
            <sz val="8"/>
            <color indexed="81"/>
            <rFont val="Tahoma"/>
            <family val="2"/>
            <charset val="186"/>
          </rPr>
          <t>kevadpüha</t>
        </r>
      </text>
    </comment>
    <comment ref="L8" authorId="0">
      <text>
        <r>
          <rPr>
            <b/>
            <sz val="8"/>
            <color indexed="81"/>
            <rFont val="Tahoma"/>
            <family val="2"/>
            <charset val="186"/>
          </rPr>
          <t>Meeste EM ja naiste MM 
katsevõistlustele saab registreeruda kuni 5.05.2019 a. kella 21.00-ni e-posti aadressil juhatus@petanque.ee</t>
        </r>
      </text>
    </comment>
    <comment ref="D9" authorId="0">
      <text>
        <r>
          <rPr>
            <b/>
            <sz val="8"/>
            <color indexed="81"/>
            <rFont val="Tahoma"/>
            <family val="2"/>
            <charset val="186"/>
          </rPr>
          <t>Klubid peavad oma osalemise kinnitama EPKL-ile 20. aprilliks ja meeskonna andmed teatama 30. aprilliks.</t>
        </r>
      </text>
    </comment>
    <comment ref="M9" authorId="0">
      <text>
        <r>
          <rPr>
            <b/>
            <sz val="8"/>
            <color indexed="81"/>
            <rFont val="Tahoma"/>
            <family val="2"/>
            <charset val="186"/>
          </rPr>
          <t>Kohtla-Järve, Järveküla tee 44
Spordihoone taga</t>
        </r>
      </text>
    </comment>
    <comment ref="E10" authorId="0">
      <text>
        <r>
          <rPr>
            <b/>
            <sz val="8"/>
            <color indexed="81"/>
            <rFont val="Tahoma"/>
            <family val="2"/>
            <charset val="186"/>
          </rPr>
          <t>Voka, Metsa 2
Voka staadion</t>
        </r>
      </text>
    </comment>
    <comment ref="G10" authorId="0">
      <text>
        <r>
          <rPr>
            <b/>
            <sz val="8"/>
            <color indexed="81"/>
            <rFont val="Tahoma"/>
            <family val="2"/>
            <charset val="186"/>
          </rPr>
          <t>Eestit esindavad: 
Katri Aavekukk, Merike Aava
Andero Kelu, Kaido Kopel</t>
        </r>
      </text>
    </comment>
    <comment ref="K11" authorId="0">
      <text>
        <r>
          <rPr>
            <b/>
            <sz val="8"/>
            <color indexed="81"/>
            <rFont val="Tahoma"/>
            <family val="2"/>
            <charset val="186"/>
          </rPr>
          <t>Klubide karikal osalemiseks peavad olema: 
 - petankeri litsents, 
 - võistluskuulid
 - ühtne võistlussärk.</t>
        </r>
      </text>
    </comment>
    <comment ref="J12" authorId="0">
      <text>
        <r>
          <rPr>
            <b/>
            <sz val="8"/>
            <color indexed="81"/>
            <rFont val="Tahoma"/>
            <family val="2"/>
            <charset val="186"/>
          </rPr>
          <t>Registreerimine kuni 12.05.2019 kella 21.00-ni</t>
        </r>
      </text>
    </comment>
    <comment ref="E13" authorId="0">
      <text>
        <r>
          <rPr>
            <b/>
            <sz val="8"/>
            <color indexed="81"/>
            <rFont val="Tahoma"/>
            <family val="2"/>
            <charset val="186"/>
          </rPr>
          <t>Voka, Metsa 2
Voka staadion</t>
        </r>
      </text>
    </comment>
    <comment ref="K13" authorId="0">
      <text>
        <r>
          <rPr>
            <b/>
            <sz val="8"/>
            <color indexed="81"/>
            <rFont val="Tahoma"/>
            <family val="2"/>
            <charset val="186"/>
          </rPr>
          <t>Voka, Metsa 2
Voka staadion</t>
        </r>
      </text>
    </comment>
    <comment ref="M13" authorId="0">
      <text>
        <r>
          <rPr>
            <b/>
            <sz val="8"/>
            <color indexed="81"/>
            <rFont val="Tahoma"/>
            <family val="2"/>
            <charset val="186"/>
          </rPr>
          <t>Voka, Metsa 2
Voka staadion</t>
        </r>
      </text>
    </comment>
    <comment ref="G16" authorId="0">
      <text>
        <r>
          <rPr>
            <b/>
            <sz val="8"/>
            <color indexed="81"/>
            <rFont val="Tahoma"/>
            <family val="2"/>
            <charset val="186"/>
          </rPr>
          <t>Kohtla-Järve, Järveküla tee 44
Spordihoone taga</t>
        </r>
      </text>
    </comment>
    <comment ref="M16" authorId="0">
      <text>
        <r>
          <rPr>
            <b/>
            <sz val="8"/>
            <color indexed="81"/>
            <rFont val="Tahoma"/>
            <family val="2"/>
            <charset val="186"/>
          </rPr>
          <t>Voka, Metsa 2
Voka staadion</t>
        </r>
      </text>
    </comment>
    <comment ref="K19" authorId="0">
      <text>
        <r>
          <rPr>
            <b/>
            <sz val="8"/>
            <color indexed="81"/>
            <rFont val="Tahoma"/>
            <family val="2"/>
            <charset val="186"/>
          </rPr>
          <t>Saku, Teaduse 2
Teaduse 2 maja taga asuv hokiväljak, kruusakate
12 väljakut</t>
        </r>
      </text>
    </comment>
    <comment ref="M19" authorId="0">
      <text>
        <r>
          <rPr>
            <b/>
            <sz val="8"/>
            <color indexed="81"/>
            <rFont val="Tahoma"/>
            <family val="2"/>
            <charset val="186"/>
          </rPr>
          <t>Saku, Teaduse 2
Teaduse 2 maja taga asuv hokiväljak, kruusakate
12 väljakut</t>
        </r>
      </text>
    </comment>
    <comment ref="G21" authorId="0">
      <text>
        <r>
          <rPr>
            <b/>
            <sz val="8"/>
            <color indexed="81"/>
            <rFont val="Tahoma"/>
            <family val="2"/>
            <charset val="186"/>
          </rPr>
          <t>Registreerimine kuni 23.05.2019 kella 21.00-ni</t>
        </r>
      </text>
    </comment>
    <comment ref="L21" authorId="0">
      <text>
        <r>
          <rPr>
            <b/>
            <sz val="8"/>
            <color indexed="81"/>
            <rFont val="Tahoma"/>
            <family val="2"/>
            <charset val="186"/>
          </rPr>
          <t>Eesti meistrivõistlustel osalemiseks peavad olema: 
 - petankeri litsents (veteranidel 15 € aasta), 
 - võistluskuulid.</t>
        </r>
      </text>
    </comment>
    <comment ref="E22" authorId="0">
      <text>
        <r>
          <rPr>
            <b/>
            <sz val="8"/>
            <color indexed="81"/>
            <rFont val="Tahoma"/>
            <family val="2"/>
            <charset val="186"/>
          </rPr>
          <t>Voka, Metsa 2
Voka staadion</t>
        </r>
      </text>
    </comment>
    <comment ref="K22" authorId="0">
      <text>
        <r>
          <rPr>
            <b/>
            <sz val="8"/>
            <color indexed="81"/>
            <rFont val="Tahoma"/>
            <family val="2"/>
            <charset val="186"/>
          </rPr>
          <t>Kohtla-Järve, Järveküla tee 44
Spordihoone taga</t>
        </r>
      </text>
    </comment>
    <comment ref="M22" authorId="0">
      <text>
        <r>
          <rPr>
            <b/>
            <sz val="8"/>
            <color indexed="81"/>
            <rFont val="Tahoma"/>
            <family val="2"/>
            <charset val="186"/>
          </rPr>
          <t>Voka, Metsa 2
Voka staadion</t>
        </r>
      </text>
    </comment>
    <comment ref="N22" authorId="0">
      <text>
        <r>
          <rPr>
            <b/>
            <sz val="8"/>
            <color indexed="81"/>
            <rFont val="Tahoma"/>
            <family val="2"/>
            <charset val="186"/>
          </rPr>
          <t>EPKL ei pea seda suurima osavõtjate arvuga petangipidu oma kalendri vääriliseks</t>
        </r>
      </text>
    </comment>
    <comment ref="M23" authorId="0">
      <text>
        <r>
          <rPr>
            <b/>
            <sz val="8"/>
            <color indexed="81"/>
            <rFont val="Tahoma"/>
            <family val="2"/>
            <charset val="186"/>
          </rPr>
          <t>Uskumatu, et veteranide võistlus venitati kahepäevaseks. Võistkondasid ei tule ju nii palju.</t>
        </r>
      </text>
    </comment>
    <comment ref="M25" authorId="0">
      <text>
        <r>
          <rPr>
            <b/>
            <sz val="8"/>
            <color indexed="81"/>
            <rFont val="Tahoma"/>
            <family val="2"/>
            <charset val="186"/>
          </rPr>
          <t>Kohtla-Järve, Järveküla tee 44
Spordihoone taga</t>
        </r>
      </text>
    </comment>
    <comment ref="G28" authorId="0">
      <text>
        <r>
          <rPr>
            <b/>
            <sz val="8"/>
            <color indexed="81"/>
            <rFont val="Tahoma"/>
            <family val="2"/>
            <charset val="186"/>
          </rPr>
          <t>Helsingi, Pohjoinen Hesperiankatu 24</t>
        </r>
      </text>
    </comment>
    <comment ref="M29" authorId="0">
      <text>
        <r>
          <rPr>
            <b/>
            <sz val="8"/>
            <color indexed="81"/>
            <rFont val="Tahoma"/>
            <family val="2"/>
            <charset val="186"/>
          </rPr>
          <t>Voka, Metsa 2
Voka staadion</t>
        </r>
      </text>
    </comment>
    <comment ref="K30" authorId="0">
      <text>
        <r>
          <rPr>
            <b/>
            <sz val="8"/>
            <color indexed="81"/>
            <rFont val="Tahoma"/>
            <family val="2"/>
            <charset val="186"/>
          </rPr>
          <t>Võistlus jätkub pühapäeval</t>
        </r>
      </text>
    </comment>
    <comment ref="N32" authorId="0">
      <text>
        <r>
          <rPr>
            <b/>
            <sz val="8"/>
            <color indexed="81"/>
            <rFont val="Tahoma"/>
            <family val="2"/>
            <charset val="186"/>
          </rPr>
          <t>nelipühade 1. püha</t>
        </r>
      </text>
    </comment>
    <comment ref="E34" authorId="0">
      <text>
        <r>
          <rPr>
            <b/>
            <sz val="8"/>
            <color indexed="81"/>
            <rFont val="Tahoma"/>
            <family val="2"/>
            <charset val="186"/>
          </rPr>
          <t>Voka, Metsa 2
Voka staadion</t>
        </r>
      </text>
    </comment>
    <comment ref="K34" authorId="0">
      <text>
        <r>
          <rPr>
            <b/>
            <sz val="8"/>
            <color indexed="81"/>
            <rFont val="Tahoma"/>
            <family val="2"/>
            <charset val="186"/>
          </rPr>
          <t>Saku, Tallinna mnt 2a</t>
        </r>
      </text>
    </comment>
    <comment ref="M34" authorId="0">
      <text>
        <r>
          <rPr>
            <b/>
            <sz val="8"/>
            <color indexed="81"/>
            <rFont val="Tahoma"/>
            <family val="2"/>
            <charset val="186"/>
          </rPr>
          <t>Saku, Tallinna mnt 2a</t>
        </r>
      </text>
    </comment>
    <comment ref="K35" authorId="0">
      <text>
        <r>
          <rPr>
            <b/>
            <sz val="8"/>
            <color indexed="81"/>
            <rFont val="Tahoma"/>
            <family val="2"/>
            <charset val="186"/>
          </rPr>
          <t>Eesti meistrivõistlustel osalemiseks peavad olema: 
 - petankeri litsents, 
 - võistluskuulid.</t>
        </r>
      </text>
    </comment>
    <comment ref="G37" authorId="0">
      <text>
        <r>
          <rPr>
            <b/>
            <sz val="8"/>
            <color indexed="81"/>
            <rFont val="Tahoma"/>
            <family val="2"/>
            <charset val="186"/>
          </rPr>
          <t>Kohtla-Järve, Järveküla tee 44
Spordihoone taga</t>
        </r>
      </text>
    </comment>
    <comment ref="K37" authorId="0">
      <text>
        <r>
          <rPr>
            <b/>
            <sz val="8"/>
            <color indexed="81"/>
            <rFont val="Tahoma"/>
            <family val="2"/>
            <charset val="186"/>
          </rPr>
          <t>Voka, Metsa 2
Voka staadion</t>
        </r>
      </text>
    </comment>
    <comment ref="M37" authorId="0">
      <text>
        <r>
          <rPr>
            <b/>
            <sz val="8"/>
            <color indexed="81"/>
            <rFont val="Tahoma"/>
            <family val="2"/>
            <charset val="186"/>
          </rPr>
          <t>Kohtla-Järve, Järveküla tee 44
Spordihoone taga</t>
        </r>
      </text>
    </comment>
    <comment ref="K40" authorId="0">
      <text>
        <r>
          <rPr>
            <b/>
            <sz val="8"/>
            <color indexed="81"/>
            <rFont val="Tahoma"/>
            <family val="2"/>
            <charset val="186"/>
          </rPr>
          <t>Zaķumuiža staadion, Parka tänav, Zaķumuiža</t>
        </r>
      </text>
    </comment>
    <comment ref="N41" authorId="0">
      <text>
        <r>
          <rPr>
            <b/>
            <sz val="8"/>
            <color indexed="81"/>
            <rFont val="Tahoma"/>
            <family val="2"/>
            <charset val="186"/>
          </rPr>
          <t>võidupüha</t>
        </r>
      </text>
    </comment>
    <comment ref="E43" authorId="0">
      <text>
        <r>
          <rPr>
            <b/>
            <sz val="8"/>
            <color indexed="81"/>
            <rFont val="Tahoma"/>
            <family val="2"/>
            <charset val="186"/>
          </rPr>
          <t>Voka, Metsa 2
Voka staadion</t>
        </r>
      </text>
    </comment>
    <comment ref="M43" authorId="0">
      <text>
        <r>
          <rPr>
            <b/>
            <sz val="8"/>
            <color indexed="81"/>
            <rFont val="Tahoma"/>
            <family val="2"/>
            <charset val="186"/>
          </rPr>
          <t>Voka, Metsa 2
Voka staadion</t>
        </r>
      </text>
    </comment>
    <comment ref="B44" authorId="0">
      <text>
        <r>
          <rPr>
            <b/>
            <sz val="8"/>
            <color indexed="81"/>
            <rFont val="Tahoma"/>
            <family val="2"/>
            <charset val="186"/>
          </rPr>
          <t>jaanipäev</t>
        </r>
      </text>
    </comment>
    <comment ref="K46" authorId="0">
      <text>
        <r>
          <rPr>
            <b/>
            <sz val="8"/>
            <color indexed="81"/>
            <rFont val="Tahoma"/>
            <family val="2"/>
            <charset val="186"/>
          </rPr>
          <t>Voka, Metsa 2
Voka staadion</t>
        </r>
      </text>
    </comment>
    <comment ref="M46" authorId="0">
      <text>
        <r>
          <rPr>
            <b/>
            <sz val="8"/>
            <color indexed="81"/>
            <rFont val="Tahoma"/>
            <family val="2"/>
            <charset val="186"/>
          </rPr>
          <t>Voka, Metsa 2
Voka staadion</t>
        </r>
      </text>
    </comment>
    <comment ref="G53" authorId="0">
      <text>
        <r>
          <rPr>
            <b/>
            <sz val="8"/>
            <color indexed="81"/>
            <rFont val="Tahoma"/>
            <family val="2"/>
            <charset val="186"/>
          </rPr>
          <t>Kohtla-Järve, Järveküla tee 44
Spordihoone taga</t>
        </r>
      </text>
    </comment>
    <comment ref="K53" authorId="0">
      <text>
        <r>
          <rPr>
            <b/>
            <sz val="8"/>
            <color indexed="81"/>
            <rFont val="Tahoma"/>
            <family val="2"/>
            <charset val="186"/>
          </rPr>
          <t>Metsa ja Jõe tänava ristist keerata Pedeli jõe poole</t>
        </r>
      </text>
    </comment>
    <comment ref="E56" authorId="0">
      <text>
        <r>
          <rPr>
            <b/>
            <sz val="8"/>
            <color indexed="81"/>
            <rFont val="Tahoma"/>
            <family val="2"/>
            <charset val="186"/>
          </rPr>
          <t>Voka, Metsa 2
Voka staadion</t>
        </r>
      </text>
    </comment>
    <comment ref="K57" authorId="0">
      <text>
        <r>
          <rPr>
            <b/>
            <sz val="8"/>
            <color indexed="81"/>
            <rFont val="Tahoma"/>
            <family val="2"/>
            <charset val="186"/>
          </rPr>
          <t>Tartu, Tähe 103 
Forseliuse kooli staadion</t>
        </r>
      </text>
    </comment>
    <comment ref="M57" authorId="0">
      <text>
        <r>
          <rPr>
            <b/>
            <sz val="8"/>
            <color indexed="81"/>
            <rFont val="Tahoma"/>
            <family val="2"/>
            <charset val="186"/>
          </rPr>
          <t>Tartu, Tähe 103 
Forseliuse kooli staadion</t>
        </r>
      </text>
    </comment>
    <comment ref="K58" authorId="0">
      <text>
        <r>
          <rPr>
            <b/>
            <sz val="8"/>
            <color indexed="81"/>
            <rFont val="Tahoma"/>
            <family val="2"/>
            <charset val="186"/>
          </rPr>
          <t>Eesti meistrivõistlustel osalemiseks peavad olema: 
 - petankeri litsents, 
 - võistluskuulid.</t>
        </r>
      </text>
    </comment>
    <comment ref="M58" authorId="0">
      <text>
        <r>
          <rPr>
            <b/>
            <sz val="8"/>
            <color indexed="81"/>
            <rFont val="Tahoma"/>
            <family val="2"/>
            <charset val="186"/>
          </rPr>
          <t>Eesti meistrivõistlustel osalemiseks peavad olema: 
 - petankeri litsents, 
 - võistluskuulid.</t>
        </r>
      </text>
    </comment>
    <comment ref="A59" authorId="0">
      <text>
        <r>
          <rPr>
            <b/>
            <sz val="8"/>
            <color indexed="81"/>
            <rFont val="Tahoma"/>
            <family val="2"/>
            <charset val="186"/>
          </rPr>
          <t xml:space="preserve">Spordimängudel osalemine eeldab eelregistreerimist. Eelregistreerimine alade kaupa tuleb teha elektrooniliselt hiljemalt </t>
        </r>
        <r>
          <rPr>
            <b/>
            <sz val="8"/>
            <color indexed="10"/>
            <rFont val="Tahoma"/>
            <family val="2"/>
            <charset val="186"/>
          </rPr>
          <t>15. juuliks 2019</t>
        </r>
        <r>
          <rPr>
            <b/>
            <sz val="8"/>
            <color indexed="81"/>
            <rFont val="Tahoma"/>
            <family val="2"/>
            <charset val="186"/>
          </rPr>
          <t xml:space="preserve">.a. ette antud vormil e-posti aadressile: info@lvsl.ee
Nimeline registreerimine tuleb teha etteantud vormil võistkonna esindaja poolt hiljemalt 
26. juuliks 2019.a. e-posti aadressile: info@lvsl.ee.
</t>
        </r>
      </text>
    </comment>
    <comment ref="G60" authorId="0">
      <text>
        <r>
          <rPr>
            <b/>
            <sz val="8"/>
            <color indexed="81"/>
            <rFont val="Tahoma"/>
            <family val="2"/>
            <charset val="186"/>
          </rPr>
          <t>Kohtla-Järve, Järveküla tee 44
Spordihoone taga</t>
        </r>
      </text>
    </comment>
    <comment ref="K60" authorId="0">
      <text>
        <r>
          <rPr>
            <b/>
            <sz val="8"/>
            <color indexed="81"/>
            <rFont val="Tahoma"/>
            <family val="2"/>
            <charset val="186"/>
          </rPr>
          <t>Uuskalda, Kärbla küla, Lääne-Nigula vald, Läänemaa</t>
        </r>
      </text>
    </comment>
    <comment ref="M60" authorId="0">
      <text>
        <r>
          <rPr>
            <b/>
            <sz val="8"/>
            <color indexed="81"/>
            <rFont val="Tahoma"/>
            <family val="2"/>
            <charset val="186"/>
          </rPr>
          <t>Uuskalda, Kärbla küla, Lääne-Nigula vald, Läänemaa</t>
        </r>
      </text>
    </comment>
    <comment ref="G61" authorId="0">
      <text>
        <r>
          <rPr>
            <b/>
            <sz val="8"/>
            <color indexed="81"/>
            <rFont val="Tahoma"/>
            <family val="2"/>
            <charset val="186"/>
          </rPr>
          <t xml:space="preserve">Spordimängudel osalemine eeldab eelregistreerimist. Eelregistreerimine alade kaupa tuleb teha elektrooniliselt hiljemalt 15. juuliks 2019.a. ette antud vormil e-posti aadressile: info@lvsl.ee
Nimeline registreerimine tuleb teha etteantud vormil võistkonna esindaja poolt hiljemalt 
</t>
        </r>
        <r>
          <rPr>
            <b/>
            <sz val="8"/>
            <color indexed="10"/>
            <rFont val="Tahoma"/>
            <family val="2"/>
            <charset val="186"/>
          </rPr>
          <t>26. juuliks 2019</t>
        </r>
        <r>
          <rPr>
            <b/>
            <sz val="8"/>
            <color indexed="81"/>
            <rFont val="Tahoma"/>
            <family val="2"/>
            <charset val="186"/>
          </rPr>
          <t xml:space="preserve">.a. e-posti aadressile: info@lvsl.ee.
</t>
        </r>
      </text>
    </comment>
    <comment ref="E63" authorId="0">
      <text>
        <r>
          <rPr>
            <b/>
            <sz val="8"/>
            <color indexed="81"/>
            <rFont val="Tahoma"/>
            <family val="2"/>
            <charset val="186"/>
          </rPr>
          <t>Voka, Metsa 2
Voka staadion</t>
        </r>
      </text>
    </comment>
    <comment ref="M63" authorId="0">
      <text>
        <r>
          <rPr>
            <b/>
            <sz val="8"/>
            <color indexed="81"/>
            <rFont val="Tahoma"/>
            <family val="2"/>
            <charset val="186"/>
          </rPr>
          <t>Jõhvi, 
Narva mnt 139b</t>
        </r>
      </text>
    </comment>
    <comment ref="N64" authorId="0">
      <text>
        <r>
          <rPr>
            <b/>
            <sz val="8"/>
            <color indexed="81"/>
            <rFont val="Tahoma"/>
            <family val="2"/>
            <charset val="186"/>
          </rPr>
          <t>Eestit esindab Saku PK</t>
        </r>
      </text>
    </comment>
    <comment ref="K67" authorId="0">
      <text>
        <r>
          <rPr>
            <b/>
            <sz val="8"/>
            <color indexed="81"/>
            <rFont val="Tahoma"/>
            <family val="2"/>
            <charset val="186"/>
          </rPr>
          <t>Segatrio, võistkonna suurus kuni 4 mängijat (3+1 varumängija); korraga väljakul 3 mängijat, nendest 1 naine. Lubatud on üks vahetus mängus. 
Kasutada võib ka harrastuskuule.
Iga maakond võib välja panna kuni kaks võistkonda, kusjuures arvesse läheb parema võistkonna tulemus. Arvesse mitteminevad võistkonnad hoiavad kohad ja punktid kinni. Võistlussüsteem selgub peale võistkondade eelregistreerimist. 
Peakohtunik Vello Vasser.</t>
        </r>
      </text>
    </comment>
    <comment ref="G68" authorId="0">
      <text>
        <r>
          <rPr>
            <b/>
            <sz val="8"/>
            <color indexed="81"/>
            <rFont val="Tahoma"/>
            <family val="2"/>
            <charset val="186"/>
          </rPr>
          <t>Kohtla-Järve, Järveküla tee 44
Spordihoone taga</t>
        </r>
      </text>
    </comment>
    <comment ref="K68" authorId="0">
      <text>
        <r>
          <rPr>
            <b/>
            <sz val="8"/>
            <color indexed="81"/>
            <rFont val="Tahoma"/>
            <family val="2"/>
            <charset val="186"/>
          </rPr>
          <t>Lääne-Virumaa, Vinni, Tammiku 9</t>
        </r>
      </text>
    </comment>
    <comment ref="K69" authorId="0">
      <text>
        <r>
          <rPr>
            <b/>
            <sz val="8"/>
            <color indexed="81"/>
            <rFont val="Tahoma"/>
            <family val="2"/>
            <charset val="186"/>
          </rPr>
          <t>Eesti meistrivõistlustel osalemiseks peavad olema: 
 - petankeri litsents, 
 - võistluskuulid.</t>
        </r>
      </text>
    </comment>
    <comment ref="M69" authorId="0">
      <text>
        <r>
          <rPr>
            <b/>
            <sz val="8"/>
            <color indexed="81"/>
            <rFont val="Tahoma"/>
            <family val="2"/>
            <charset val="186"/>
          </rPr>
          <t>Eesti meistrivõistlustel osalemiseks peavad olema: 
 - petankeri litsents, 
 - võistluskuulid.</t>
        </r>
      </text>
    </comment>
    <comment ref="K71" authorId="0">
      <text>
        <r>
          <rPr>
            <b/>
            <sz val="8"/>
            <color indexed="81"/>
            <rFont val="Tahoma"/>
            <family val="2"/>
            <charset val="186"/>
          </rPr>
          <t>Tallinn, Pirita, 
Rummu tee 3a</t>
        </r>
      </text>
    </comment>
    <comment ref="M71" authorId="0">
      <text>
        <r>
          <rPr>
            <b/>
            <sz val="8"/>
            <color indexed="81"/>
            <rFont val="Tahoma"/>
            <family val="2"/>
            <charset val="186"/>
          </rPr>
          <t>Tallinn, Pirita, 
Rummu tee 3a</t>
        </r>
      </text>
    </comment>
    <comment ref="E74" authorId="0">
      <text>
        <r>
          <rPr>
            <b/>
            <sz val="8"/>
            <color indexed="81"/>
            <rFont val="Tahoma"/>
            <family val="2"/>
            <charset val="186"/>
          </rPr>
          <t>Voka, Metsa 2
Voka staadion</t>
        </r>
      </text>
    </comment>
    <comment ref="K74" authorId="0">
      <text>
        <r>
          <rPr>
            <b/>
            <sz val="8"/>
            <color indexed="81"/>
            <rFont val="Tahoma"/>
            <family val="2"/>
            <charset val="186"/>
          </rPr>
          <t>Haapsalu, Ranna tee 2 
Fra Mare parkla</t>
        </r>
      </text>
    </comment>
    <comment ref="M74" authorId="0">
      <text>
        <r>
          <rPr>
            <b/>
            <sz val="8"/>
            <color indexed="81"/>
            <rFont val="Tahoma"/>
            <family val="2"/>
            <charset val="186"/>
          </rPr>
          <t>Haapsalu, Ranna tee 2 
Fra Mare parkla</t>
        </r>
      </text>
    </comment>
    <comment ref="M75" authorId="0">
      <text>
        <r>
          <rPr>
            <b/>
            <sz val="8"/>
            <color indexed="81"/>
            <rFont val="Tahoma"/>
            <family val="2"/>
            <charset val="186"/>
          </rPr>
          <t>Eesti meistrivõistlustel osalemiseks peavad olema: 
 - petankeri litsents, 
 - võistluskuulid.</t>
        </r>
      </text>
    </comment>
    <comment ref="K77" authorId="0">
      <text>
        <r>
          <rPr>
            <b/>
            <sz val="8"/>
            <color indexed="81"/>
            <rFont val="Tahoma"/>
            <family val="2"/>
            <charset val="186"/>
          </rPr>
          <t>Võru, Roosi 26a</t>
        </r>
      </text>
    </comment>
    <comment ref="M77" authorId="0">
      <text>
        <r>
          <rPr>
            <b/>
            <sz val="8"/>
            <color indexed="81"/>
            <rFont val="Tahoma"/>
            <family val="2"/>
            <charset val="186"/>
          </rPr>
          <t>Võru, Roosi 26a</t>
        </r>
      </text>
    </comment>
    <comment ref="D78" authorId="0">
      <text>
        <r>
          <rPr>
            <b/>
            <sz val="8"/>
            <color indexed="81"/>
            <rFont val="Tahoma"/>
            <family val="2"/>
            <charset val="186"/>
          </rPr>
          <t>Taasiseseisvumispäev</t>
        </r>
      </text>
    </comment>
    <comment ref="E80" authorId="0">
      <text>
        <r>
          <rPr>
            <b/>
            <sz val="8"/>
            <color indexed="81"/>
            <rFont val="Tahoma"/>
            <family val="2"/>
            <charset val="186"/>
          </rPr>
          <t>Voka, Metsa 2
Voka staadion</t>
        </r>
      </text>
    </comment>
    <comment ref="M80" authorId="0">
      <text>
        <r>
          <rPr>
            <b/>
            <sz val="8"/>
            <color indexed="81"/>
            <rFont val="Tahoma"/>
            <family val="2"/>
            <charset val="186"/>
          </rPr>
          <t>Voka, Metsa 2
Voka staadion</t>
        </r>
      </text>
    </comment>
    <comment ref="C81" authorId="0">
      <text>
        <r>
          <rPr>
            <b/>
            <sz val="8"/>
            <color indexed="81"/>
            <rFont val="Tahoma"/>
            <family val="2"/>
            <charset val="186"/>
          </rPr>
          <t>Kohtla-Järve, Järveküla tee 44
Spordihoone taga</t>
        </r>
      </text>
    </comment>
    <comment ref="M87" authorId="0">
      <text>
        <r>
          <rPr>
            <b/>
            <sz val="8"/>
            <color indexed="81"/>
            <rFont val="Tahoma"/>
            <family val="2"/>
            <charset val="186"/>
          </rPr>
          <t>Jõhvi, 
Narva mnt 139b</t>
        </r>
      </text>
    </comment>
    <comment ref="E90" authorId="0">
      <text>
        <r>
          <rPr>
            <b/>
            <sz val="8"/>
            <color indexed="81"/>
            <rFont val="Tahoma"/>
            <family val="2"/>
            <charset val="186"/>
          </rPr>
          <t>Voka, Metsa 2
Voka staadion</t>
        </r>
      </text>
    </comment>
    <comment ref="K90" authorId="0">
      <text>
        <r>
          <rPr>
            <b/>
            <sz val="8"/>
            <color indexed="81"/>
            <rFont val="Tahoma"/>
            <family val="2"/>
            <charset val="186"/>
          </rPr>
          <t>Tallinn, Pirita, 
Rummu tee 3a</t>
        </r>
      </text>
    </comment>
    <comment ref="M90" authorId="0">
      <text>
        <r>
          <rPr>
            <b/>
            <sz val="8"/>
            <color indexed="81"/>
            <rFont val="Tahoma"/>
            <family val="2"/>
            <charset val="186"/>
          </rPr>
          <t>Voka, Metsa 2
Voka staadion</t>
        </r>
      </text>
    </comment>
    <comment ref="E96" authorId="0">
      <text>
        <r>
          <rPr>
            <b/>
            <sz val="8"/>
            <color indexed="81"/>
            <rFont val="Tahoma"/>
            <family val="2"/>
            <charset val="186"/>
          </rPr>
          <t>Voka, Narva mnt 2
Voka petangihall</t>
        </r>
      </text>
    </comment>
    <comment ref="Q97" authorId="0">
      <text>
        <r>
          <rPr>
            <b/>
            <sz val="8"/>
            <color indexed="81"/>
            <rFont val="Tahoma"/>
            <family val="2"/>
            <charset val="186"/>
          </rPr>
          <t>Voka, Metsa 2
Voka staadion</t>
        </r>
      </text>
    </comment>
    <comment ref="M99" authorId="0">
      <text>
        <r>
          <rPr>
            <b/>
            <sz val="8"/>
            <color indexed="81"/>
            <rFont val="Tahoma"/>
            <family val="2"/>
            <charset val="186"/>
          </rPr>
          <t>Finaalis mängivad need, kes on osalenud vähemalt kolmel etapil.</t>
        </r>
      </text>
    </comment>
    <comment ref="M101" authorId="0">
      <text>
        <r>
          <rPr>
            <b/>
            <sz val="8"/>
            <color indexed="81"/>
            <rFont val="Tahoma"/>
            <family val="2"/>
            <charset val="186"/>
          </rPr>
          <t>Voka, Narva mnt 2
Voka petangihall</t>
        </r>
      </text>
    </comment>
    <comment ref="M105" authorId="0">
      <text>
        <r>
          <rPr>
            <b/>
            <sz val="8"/>
            <color indexed="81"/>
            <rFont val="Tahoma"/>
            <family val="2"/>
            <charset val="186"/>
          </rPr>
          <t>Kohtla-Järve, Järveküla tee 44
Spordihoone taga</t>
        </r>
      </text>
    </comment>
    <comment ref="Q105" authorId="0">
      <text>
        <r>
          <rPr>
            <b/>
            <sz val="8"/>
            <color indexed="81"/>
            <rFont val="Tahoma"/>
            <family val="2"/>
            <charset val="186"/>
          </rPr>
          <t>Voka, Metsa 2
Voka staadion</t>
        </r>
      </text>
    </comment>
    <comment ref="M111" authorId="0">
      <text>
        <r>
          <rPr>
            <b/>
            <sz val="8"/>
            <color indexed="81"/>
            <rFont val="Tahoma"/>
            <family val="2"/>
            <charset val="186"/>
          </rPr>
          <t>Tallinn, Algi 38
Tallinna petangihall</t>
        </r>
      </text>
    </comment>
  </commentList>
</comments>
</file>

<file path=xl/comments3.xml><?xml version="1.0" encoding="utf-8"?>
<comments xmlns="http://schemas.openxmlformats.org/spreadsheetml/2006/main">
  <authors>
    <author>Author</author>
  </authors>
  <commentList>
    <comment ref="AC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U4" authorId="0">
      <text>
        <r>
          <rPr>
            <b/>
            <sz val="8"/>
            <color indexed="81"/>
            <rFont val="Tahoma"/>
            <family val="2"/>
            <charset val="186"/>
          </rPr>
          <t>Vokas</t>
        </r>
      </text>
    </comment>
    <comment ref="V4" authorId="0">
      <text>
        <r>
          <rPr>
            <b/>
            <sz val="8"/>
            <color indexed="81"/>
            <rFont val="Tahoma"/>
            <family val="2"/>
            <charset val="186"/>
          </rPr>
          <t>Kohtla-Järvel</t>
        </r>
      </text>
    </comment>
    <comment ref="X4" authorId="0">
      <text>
        <r>
          <rPr>
            <b/>
            <sz val="8"/>
            <color indexed="81"/>
            <rFont val="Tahoma"/>
            <family val="2"/>
            <charset val="186"/>
          </rPr>
          <t>Jõhvis</t>
        </r>
      </text>
    </comment>
    <comment ref="AC4" authorId="0">
      <text>
        <r>
          <rPr>
            <b/>
            <sz val="8"/>
            <color indexed="81"/>
            <rFont val="Tahoma"/>
            <family val="2"/>
            <charset val="186"/>
          </rPr>
          <t>Kohtla-Järvel</t>
        </r>
      </text>
    </comment>
    <comment ref="E7" authorId="0">
      <text>
        <r>
          <rPr>
            <b/>
            <sz val="8"/>
            <color indexed="81"/>
            <rFont val="Tahoma"/>
            <family val="2"/>
            <charset val="186"/>
          </rPr>
          <t>Valem arvutab punktisumma järgi võistleja koha. 
Võrdse punktisumma korral annab kõrgema koha võistlejale, kellel on rohkem 40-t, siis rohkem 34-a, 30-t jne.
Valem töötab Microsoft ja WPS Office-ga. 
Vahel ei tööta Libre ja Open Office-ga.</t>
        </r>
      </text>
    </comment>
    <comment ref="I7" authorId="0">
      <text>
        <r>
          <rPr>
            <b/>
            <sz val="8"/>
            <color indexed="81"/>
            <rFont val="Tahoma"/>
            <family val="2"/>
            <charset val="186"/>
          </rPr>
          <t xml:space="preserve">Valem arvutab punktisumma ja võtab kehvemad tulemused maha.
Valem töötab Microsoft ja WPS Office-ga. 
Vahel ei tööta Libre ja Open Office-ga.
</t>
        </r>
      </text>
    </comment>
    <comment ref="AG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AH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AI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AJ7" authorId="0">
      <text>
        <r>
          <rPr>
            <b/>
            <sz val="8"/>
            <color indexed="81"/>
            <rFont val="Tahoma"/>
            <family val="2"/>
            <charset val="186"/>
          </rPr>
          <t xml:space="preserve">Kahe tühiku ("  ") asemele paneb nulli (FALSE). 
Viimane komakoht näitab, mitmes ETAPP see kehvim on, et võrdsete punktide korral tõmbaks maha vaid ühe ja vasakpoolse tulemuse.
</t>
        </r>
      </text>
    </comment>
    <comment ref="F27" authorId="0">
      <text>
        <r>
          <rPr>
            <b/>
            <sz val="8"/>
            <color indexed="81"/>
            <rFont val="Tahoma"/>
            <family val="2"/>
            <charset val="186"/>
          </rPr>
          <t>Aasta uustulnukas</t>
        </r>
      </text>
    </comment>
    <comment ref="H57" authorId="0">
      <text>
        <r>
          <rPr>
            <b/>
            <sz val="8"/>
            <color indexed="81"/>
            <rFont val="Tahoma"/>
            <family val="2"/>
            <charset val="186"/>
          </rPr>
          <t>sünd. 2005</t>
        </r>
      </text>
    </comment>
    <comment ref="H63" authorId="0">
      <text>
        <r>
          <rPr>
            <b/>
            <sz val="8"/>
            <color indexed="81"/>
            <rFont val="Tahoma"/>
            <family val="2"/>
            <charset val="186"/>
          </rPr>
          <t>sünd. 2004</t>
        </r>
      </text>
    </comment>
  </commentList>
</comments>
</file>

<file path=xl/comments4.xml><?xml version="1.0" encoding="utf-8"?>
<comments xmlns="http://schemas.openxmlformats.org/spreadsheetml/2006/main">
  <authors>
    <author>Author</author>
  </authors>
  <commentList>
    <comment ref="I6" authorId="0">
      <text>
        <r>
          <rPr>
            <b/>
            <sz val="8"/>
            <color indexed="81"/>
            <rFont val="Tahoma"/>
            <family val="2"/>
            <charset val="186"/>
          </rPr>
          <t>Võite - Kaotusi</t>
        </r>
      </text>
    </comment>
    <comment ref="K6" authorId="0">
      <text>
        <r>
          <rPr>
            <b/>
            <sz val="8"/>
            <color indexed="81"/>
            <rFont val="Tahoma"/>
            <family val="2"/>
            <charset val="186"/>
          </rPr>
          <t>Võite omavahelistes mängudes</t>
        </r>
      </text>
    </comment>
    <comment ref="M6" authorId="0">
      <text>
        <r>
          <rPr>
            <b/>
            <sz val="8"/>
            <color indexed="81"/>
            <rFont val="Tahoma"/>
            <family val="2"/>
            <charset val="186"/>
          </rPr>
          <t>Punktide vahe omavahelistes mängudes</t>
        </r>
      </text>
    </comment>
    <comment ref="N6" authorId="0">
      <text>
        <r>
          <rPr>
            <b/>
            <sz val="8"/>
            <color indexed="81"/>
            <rFont val="Tahoma"/>
            <family val="2"/>
            <charset val="186"/>
          </rPr>
          <t>Kui omavahelistes mängudes on kõigil võrdselt võite ja ka punktide vahe on võrdne, siis vaatab, kumb võitis</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punktide VAHE</t>
        </r>
      </text>
    </comment>
    <comment ref="Q6" authorId="0">
      <text>
        <r>
          <rPr>
            <b/>
            <sz val="8"/>
            <color indexed="81"/>
            <rFont val="Tahoma"/>
            <family val="2"/>
            <charset val="186"/>
          </rPr>
          <t>Kogu turniiri jooksul mängitud mängude keskmist punktide SUHE</t>
        </r>
      </text>
    </comment>
    <comment ref="S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5.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keskmist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 ref="P13" authorId="0">
      <text>
        <r>
          <rPr>
            <b/>
            <sz val="8"/>
            <color indexed="81"/>
            <rFont val="Tahoma"/>
            <family val="2"/>
            <charset val="186"/>
          </rPr>
          <t>Kogu turniiri jooksul mängitud mängude keskmist punktide SUHE</t>
        </r>
      </text>
    </comment>
    <comment ref="R13"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6.xml><?xml version="1.0" encoding="utf-8"?>
<comments xmlns="http://schemas.openxmlformats.org/spreadsheetml/2006/main">
  <authors>
    <author>Author</author>
  </authors>
  <commentList>
    <comment ref="H6" authorId="0">
      <text>
        <r>
          <rPr>
            <b/>
            <sz val="8"/>
            <color indexed="81"/>
            <rFont val="Tahoma"/>
            <family val="2"/>
            <charset val="186"/>
          </rPr>
          <t>Võite - Kaotusi</t>
        </r>
      </text>
    </comment>
    <comment ref="J6" authorId="0">
      <text>
        <r>
          <rPr>
            <b/>
            <sz val="8"/>
            <color indexed="81"/>
            <rFont val="Tahoma"/>
            <family val="2"/>
            <charset val="186"/>
          </rPr>
          <t>Võite omavahelistes mängudes</t>
        </r>
      </text>
    </comment>
    <comment ref="L6" authorId="0">
      <text>
        <r>
          <rPr>
            <b/>
            <sz val="8"/>
            <color indexed="81"/>
            <rFont val="Tahoma"/>
            <family val="2"/>
            <charset val="186"/>
          </rPr>
          <t>Punktide vahe omavahelistes mängudes</t>
        </r>
      </text>
    </comment>
    <comment ref="M6" authorId="0">
      <text>
        <r>
          <rPr>
            <b/>
            <sz val="8"/>
            <color indexed="81"/>
            <rFont val="Tahoma"/>
            <family val="2"/>
            <charset val="186"/>
          </rPr>
          <t>Kui omavahelistes mängudes on kõigil võrdselt võite ja ka punktide vahe on võrdne, siis vaatab, kumb võitis</t>
        </r>
      </text>
    </comment>
    <comment ref="N6" authorId="0">
      <text>
        <r>
          <rPr>
            <b/>
            <sz val="8"/>
            <color indexed="81"/>
            <rFont val="Tahoma"/>
            <family val="2"/>
            <charset val="186"/>
          </rPr>
          <t>Kogu turniiri jooksul mängitud mängude punktide VAHE</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keskmine punktide SUHE</t>
        </r>
      </text>
    </comment>
    <comment ref="R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comments7.xml><?xml version="1.0" encoding="utf-8"?>
<comments xmlns="http://schemas.openxmlformats.org/spreadsheetml/2006/main">
  <authors>
    <author>Author</author>
  </authors>
  <commentList>
    <comment ref="R1" authorId="0">
      <text>
        <r>
          <rPr>
            <b/>
            <sz val="8"/>
            <color indexed="81"/>
            <rFont val="Tahoma"/>
            <family val="2"/>
            <charset val="186"/>
          </rPr>
          <t>Koht - Punkte
  1. - 40 p
  2. - 34 p
  3. - 30 p
  4. - 26 p
  5. - 24 p
  6. - 22 p
  7. - 20 p
  8. - 18 p
  9. - 16 p
10. - 14 p
11. - 12 p
12. - 10 p
13. -   8 p
14. -   6 p
15. -   4 p
16. -   2 p
17... - 1 p
DSQ - 0 p</t>
        </r>
      </text>
    </comment>
    <comment ref="E6" authorId="0">
      <text>
        <r>
          <rPr>
            <b/>
            <sz val="8"/>
            <color indexed="81"/>
            <rFont val="Tahoma"/>
            <family val="2"/>
            <charset val="186"/>
          </rPr>
          <t>Valem arvutab punktisumma järgi võistleja koha. 
Võrdse punktisumma korral annab kõrgema koha võistlejale, kellel on rohkem 40-t, siis rohkem 34-a, 30-t jne.
Valem töötab Microsoft ja WPS Office-ga. 
Vahel ei tööta Libre ja Open Office-ga.</t>
        </r>
      </text>
    </comment>
    <comment ref="I6" authorId="0">
      <text>
        <r>
          <rPr>
            <b/>
            <sz val="8"/>
            <color indexed="81"/>
            <rFont val="Tahoma"/>
            <family val="2"/>
            <charset val="186"/>
          </rPr>
          <t xml:space="preserve">Valem arvutab punktisumma ja võtab kehvemad tulemused maha.
Valem töötab Microsoft ja WPS Office-ga. 
Vahel ei tööta Libre ja Open Office-ga.
</t>
        </r>
      </text>
    </comment>
  </commentList>
</comments>
</file>

<file path=xl/comments8.xml><?xml version="1.0" encoding="utf-8"?>
<comments xmlns="http://schemas.openxmlformats.org/spreadsheetml/2006/main">
  <authors>
    <author>Author</author>
  </authors>
  <commentList>
    <comment ref="Y24" authorId="0">
      <text>
        <r>
          <rPr>
            <b/>
            <sz val="8"/>
            <color indexed="81"/>
            <rFont val="Tahoma"/>
            <family val="2"/>
            <charset val="186"/>
          </rPr>
          <t>kahe veerandfinalisti võitja punktidele lisab 100.
paariliste esimesed saavad kohe 100, et mittte edasisaanute RANK algaks 5-st kohast, mitte 2-st</t>
        </r>
      </text>
    </comment>
  </commentList>
</comments>
</file>

<file path=xl/comments9.xml><?xml version="1.0" encoding="utf-8"?>
<comments xmlns="http://schemas.openxmlformats.org/spreadsheetml/2006/main">
  <authors>
    <author>Author</author>
  </authors>
  <commentList>
    <comment ref="I6" authorId="0">
      <text>
        <r>
          <rPr>
            <b/>
            <sz val="8"/>
            <color indexed="81"/>
            <rFont val="Tahoma"/>
            <family val="2"/>
            <charset val="186"/>
          </rPr>
          <t>Võite - Kaotusi</t>
        </r>
      </text>
    </comment>
    <comment ref="K6" authorId="0">
      <text>
        <r>
          <rPr>
            <b/>
            <sz val="8"/>
            <color indexed="81"/>
            <rFont val="Tahoma"/>
            <family val="2"/>
            <charset val="186"/>
          </rPr>
          <t>Võite omavahelistes mängudes</t>
        </r>
      </text>
    </comment>
    <comment ref="M6" authorId="0">
      <text>
        <r>
          <rPr>
            <b/>
            <sz val="8"/>
            <color indexed="81"/>
            <rFont val="Tahoma"/>
            <family val="2"/>
            <charset val="186"/>
          </rPr>
          <t>Punktide vahe omavahelistes mängudes</t>
        </r>
      </text>
    </comment>
    <comment ref="N6" authorId="0">
      <text>
        <r>
          <rPr>
            <b/>
            <sz val="8"/>
            <color indexed="81"/>
            <rFont val="Tahoma"/>
            <family val="2"/>
            <charset val="186"/>
          </rPr>
          <t>Kui omavahelistes mängudes on kõigil võrdselt võite ja ka punktide vahe on võrdne, siis vaatab, kumb võitis</t>
        </r>
      </text>
    </comment>
    <comment ref="O6" authorId="0">
      <text>
        <r>
          <rPr>
            <b/>
            <sz val="8"/>
            <color indexed="81"/>
            <rFont val="Tahoma"/>
            <family val="2"/>
            <charset val="186"/>
          </rPr>
          <t>Kogu turniiri jooksul mängitud mängude punktide VAHE</t>
        </r>
      </text>
    </comment>
    <comment ref="P6" authorId="0">
      <text>
        <r>
          <rPr>
            <b/>
            <sz val="8"/>
            <color indexed="81"/>
            <rFont val="Tahoma"/>
            <family val="2"/>
            <charset val="186"/>
          </rPr>
          <t>Kogu turniiri jooksul mängitud mängude punktide VAHE</t>
        </r>
      </text>
    </comment>
    <comment ref="Q6" authorId="0">
      <text>
        <r>
          <rPr>
            <b/>
            <sz val="8"/>
            <color indexed="81"/>
            <rFont val="Tahoma"/>
            <family val="2"/>
            <charset val="186"/>
          </rPr>
          <t>Kogu turniiri jooksul mängitud mängude keskmist punktide SUHE</t>
        </r>
      </text>
    </comment>
    <comment ref="S6" authorId="0">
      <text>
        <r>
          <rPr>
            <b/>
            <sz val="8"/>
            <color indexed="81"/>
            <rFont val="Tahoma"/>
            <family val="2"/>
            <charset val="186"/>
          </rPr>
          <t>TRUE kui: 
3-ses alagrupis 3 nime ja   6 tulemust või
4-ses alagrupis 4 nime ja 12 tulemust või
5-ses alagrupis 5 nime ja 20 tulemust või
6-ses alagrupis 5 nime ja 30 tulemust</t>
        </r>
      </text>
    </comment>
  </commentList>
</comments>
</file>

<file path=xl/sharedStrings.xml><?xml version="1.0" encoding="utf-8"?>
<sst xmlns="http://schemas.openxmlformats.org/spreadsheetml/2006/main" count="4721" uniqueCount="586">
  <si>
    <t>IDA-VIRUMAA PETANGIKALENDER 2019</t>
  </si>
  <si>
    <t>Kuupäev</t>
  </si>
  <si>
    <t>Aeg</t>
  </si>
  <si>
    <t>Võistlus</t>
  </si>
  <si>
    <t>Mänguviis</t>
  </si>
  <si>
    <t>R</t>
  </si>
  <si>
    <t>Toimumiskoht</t>
  </si>
  <si>
    <t>Korraldaja</t>
  </si>
  <si>
    <t>T</t>
  </si>
  <si>
    <t>Osal</t>
  </si>
  <si>
    <t>Mai 2019</t>
  </si>
  <si>
    <t>K, 01.05.2019</t>
  </si>
  <si>
    <t>11:30</t>
  </si>
  <si>
    <t>Välishooaja avavõistlus</t>
  </si>
  <si>
    <t>Loosiduo</t>
  </si>
  <si>
    <t>Johannes Neiland</t>
  </si>
  <si>
    <t>P, 05.05.2019</t>
  </si>
  <si>
    <t>11:00</t>
  </si>
  <si>
    <t>K-Järve 18. KV 1. etapp</t>
  </si>
  <si>
    <t>Trio</t>
  </si>
  <si>
    <t>Ivar Viljaste</t>
  </si>
  <si>
    <t>K, 08.05.2019</t>
  </si>
  <si>
    <t>18:00</t>
  </si>
  <si>
    <t>Voka 6. KV 1. etapp</t>
  </si>
  <si>
    <t>Duo</t>
  </si>
  <si>
    <t>L, 11.05.2019</t>
  </si>
  <si>
    <t>10:00</t>
  </si>
  <si>
    <t>T, D, Ü</t>
  </si>
  <si>
    <t>EPKL</t>
  </si>
  <si>
    <t>P, 12.05.2019</t>
  </si>
  <si>
    <t>8:00</t>
  </si>
  <si>
    <t>N, 16.05.2019</t>
  </si>
  <si>
    <t>K-Järve 18. KV 2. etapp</t>
  </si>
  <si>
    <t>P, 19.05.2019</t>
  </si>
  <si>
    <t>Viru SK 1. lahtised MV</t>
  </si>
  <si>
    <t>K, 22.05.2019</t>
  </si>
  <si>
    <t>Voka 6. KV 2. etapp</t>
  </si>
  <si>
    <t>L, 25.05.2019</t>
  </si>
  <si>
    <t>P, 26.05.2019</t>
  </si>
  <si>
    <t>Üksik</t>
  </si>
  <si>
    <t>ESVL, Johannes Neiland</t>
  </si>
  <si>
    <t>Juuni 2019</t>
  </si>
  <si>
    <t>P, 02.06.2019</t>
  </si>
  <si>
    <t>K, 05.06.2019</t>
  </si>
  <si>
    <t>Voka 6. KV 3. etapp</t>
  </si>
  <si>
    <t>N, 13.06.2019</t>
  </si>
  <si>
    <t>K-Järve 18. KV 3. etapp</t>
  </si>
  <si>
    <t>L, 15.06.2019</t>
  </si>
  <si>
    <t>P, 16.06.2019</t>
  </si>
  <si>
    <t>K, 19.06.2019</t>
  </si>
  <si>
    <t>Voka 6. KV 4. etapp</t>
  </si>
  <si>
    <t>P, 23.06.2019</t>
  </si>
  <si>
    <t>Jaani pliks-plaks</t>
  </si>
  <si>
    <t>L, 29.06.2019</t>
  </si>
  <si>
    <t>Toila valla MV (18. muruturniir)</t>
  </si>
  <si>
    <t>Toila vald, Johannes Neiland</t>
  </si>
  <si>
    <t>P, 30.06.2019</t>
  </si>
  <si>
    <t>Ida-Virumaa MV</t>
  </si>
  <si>
    <t>Juuli 2019</t>
  </si>
  <si>
    <t>N, 04.07.2019</t>
  </si>
  <si>
    <t>Tulistamine</t>
  </si>
  <si>
    <t>K, 10.07.2019</t>
  </si>
  <si>
    <t>Voka 6. KV 5. etapp</t>
  </si>
  <si>
    <t>N, 18.07.2019</t>
  </si>
  <si>
    <t>K-Järve 20. MV</t>
  </si>
  <si>
    <t>K, 24.07.2019</t>
  </si>
  <si>
    <t>Voka 6. KV 6. etapp</t>
  </si>
  <si>
    <t>P, 28.07.2019</t>
  </si>
  <si>
    <t>August 2019</t>
  </si>
  <si>
    <t>N, 01.08.2019</t>
  </si>
  <si>
    <t>K-Järve 18. MV</t>
  </si>
  <si>
    <t>K, 07.08.2019</t>
  </si>
  <si>
    <t>Voka 6. KV 7. etapp</t>
  </si>
  <si>
    <r>
      <rPr>
        <b/>
        <sz val="10"/>
        <color rgb="FF0070C0"/>
        <rFont val="Arial"/>
        <family val="2"/>
        <charset val="186"/>
      </rPr>
      <t>T, 20</t>
    </r>
    <r>
      <rPr>
        <b/>
        <sz val="10"/>
        <color theme="1"/>
        <rFont val="Arial"/>
        <family val="2"/>
        <charset val="186"/>
      </rPr>
      <t>.08.2019</t>
    </r>
  </si>
  <si>
    <t>K, 21.08.2019</t>
  </si>
  <si>
    <t>Voka 6. KV 8. etapp</t>
  </si>
  <si>
    <t>P, 25.08.2019</t>
  </si>
  <si>
    <t>September 2019</t>
  </si>
  <si>
    <t>P, 01.09.2019</t>
  </si>
  <si>
    <t>Jõhvi 19. MV</t>
  </si>
  <si>
    <t>LTK Üks-Teist, Tõnu Kapper</t>
  </si>
  <si>
    <t>K, 04.09.2019</t>
  </si>
  <si>
    <t>Voka 6. KV 9. etapp</t>
  </si>
  <si>
    <t>P, 08.09.2019</t>
  </si>
  <si>
    <t>K, 18.09.2019</t>
  </si>
  <si>
    <t>Voka 6. KV 10. etapp</t>
  </si>
  <si>
    <t>P, 29.09.2019</t>
  </si>
  <si>
    <t>Voka 6. KV superfinaal</t>
  </si>
  <si>
    <t xml:space="preserve"> </t>
  </si>
  <si>
    <t>Oktoober 2019</t>
  </si>
  <si>
    <t>P, 06.10.2019</t>
  </si>
  <si>
    <t>Hooaja lõpetamine (pliks-plaks)</t>
  </si>
  <si>
    <t>?</t>
  </si>
  <si>
    <t>3. Pliks plaks (kõik-kõigiga)</t>
  </si>
  <si>
    <t>Ekstreempetank</t>
  </si>
  <si>
    <t>Ida-Viru reitinguvõistlused on rasvases trükis</t>
  </si>
  <si>
    <t>Arvesse läheb 10 võistlust 14st (4 üksikmängu (sh tulistamine) 6st + 3 duot 4st + 3 triot 4st)</t>
  </si>
  <si>
    <t xml:space="preserve">Voka karikavõistlused on rohelise taustaga. </t>
  </si>
  <si>
    <t>Finaali pääsemiseks on vajalik osavõtt vähemalt 3st etapist. Finaal mängitakse kahe kaotuse süsteemis üksimängus.</t>
  </si>
  <si>
    <t>Eesti reitingusarja võistlused on kollase taustaga</t>
  </si>
  <si>
    <t>Viimased muudatused on punasega</t>
  </si>
  <si>
    <t>EESTI JA IDA-VIRUMAA PETANGIKALENDER 2019</t>
  </si>
  <si>
    <t>Esmaspäev</t>
  </si>
  <si>
    <t>Teisipäev</t>
  </si>
  <si>
    <t>Kolmapäev</t>
  </si>
  <si>
    <t>Neljapäev</t>
  </si>
  <si>
    <t>Reede</t>
  </si>
  <si>
    <t>Laupäev</t>
  </si>
  <si>
    <t>Pühapäev</t>
  </si>
  <si>
    <t>Aprill 2019</t>
  </si>
  <si>
    <t>TRIO+DUO</t>
  </si>
  <si>
    <t>registr. Klubide</t>
  </si>
  <si>
    <t>avavõistlus 11:30</t>
  </si>
  <si>
    <t>registr. EM ja MM katsevõistlusele</t>
  </si>
  <si>
    <t>1. etapp, TRIO</t>
  </si>
  <si>
    <t>Karikale</t>
  </si>
  <si>
    <t xml:space="preserve">LOOSIDUO </t>
  </si>
  <si>
    <t>2. MM, ÜKSIK (m, n), DUO (m, n), SEGADUO</t>
  </si>
  <si>
    <t>1. etapp, DUO</t>
  </si>
  <si>
    <t xml:space="preserve">registr. </t>
  </si>
  <si>
    <t>ÜKSIK, D, SD, T, ST</t>
  </si>
  <si>
    <t>55+</t>
  </si>
  <si>
    <t>11. Baltic Cup 1. etapp</t>
  </si>
  <si>
    <t>2. etapp, DUO</t>
  </si>
  <si>
    <t>TRIO (m, n)</t>
  </si>
  <si>
    <t>TRIO</t>
  </si>
  <si>
    <t>Šiauliai (Leedu)</t>
  </si>
  <si>
    <t>katsevõistlus, TRIO</t>
  </si>
  <si>
    <t>registr.ESL 35+</t>
  </si>
  <si>
    <t>EM katsevõistlus, TRIO</t>
  </si>
  <si>
    <t>MV (35+), ÜKSIK</t>
  </si>
  <si>
    <t xml:space="preserve">30. Baltique </t>
  </si>
  <si>
    <t>Duppeli, DUO</t>
  </si>
  <si>
    <t>Ü, D, SD, T, ST</t>
  </si>
  <si>
    <t>DUO</t>
  </si>
  <si>
    <t>Upesciems, (Läti)</t>
  </si>
  <si>
    <t>3. etapp, DUO</t>
  </si>
  <si>
    <t>3. etapp, ÜKSIK</t>
  </si>
  <si>
    <t>ÜKSIK</t>
  </si>
  <si>
    <t>11. Baltic Cup 2. etapp</t>
  </si>
  <si>
    <t>4. etapp, DUO</t>
  </si>
  <si>
    <t>(18:00)</t>
  </si>
  <si>
    <t>(18.muruturniir), ÜKSIK</t>
  </si>
  <si>
    <t>ÜKSIK (m,n)</t>
  </si>
  <si>
    <t>Upesciems (Läti)</t>
  </si>
  <si>
    <t>TUL</t>
  </si>
  <si>
    <t xml:space="preserve">15. Eestimaa suve- </t>
  </si>
  <si>
    <t>5. etapp, DUO</t>
  </si>
  <si>
    <t>mängud, SEGATRIO</t>
  </si>
  <si>
    <t>58. Mondial la Marseillaise à Pétanque 07.-11.07.2019</t>
  </si>
  <si>
    <t xml:space="preserve">registr. ESL </t>
  </si>
  <si>
    <t>SEGADUO</t>
  </si>
  <si>
    <t>SEGATRIO</t>
  </si>
  <si>
    <t>Spordimängudele</t>
  </si>
  <si>
    <t>6. etapp, DUO</t>
  </si>
  <si>
    <t>Eesti mängib B-grupis Itaalias</t>
  </si>
  <si>
    <t>52. ESL Spordimän-</t>
  </si>
  <si>
    <t>gud (35+), SEGATRIO</t>
  </si>
  <si>
    <t>7. etapp, DUO</t>
  </si>
  <si>
    <t>20. MV</t>
  </si>
  <si>
    <t>8. etapp, DUO</t>
  </si>
  <si>
    <t>Läti (Upesciema stadions, Skolas iela 11)</t>
  </si>
  <si>
    <t>9. etapp, DUO</t>
  </si>
  <si>
    <t>maavõistlus, TRIO</t>
  </si>
  <si>
    <t>??</t>
  </si>
  <si>
    <t>10. etapp, DUO</t>
  </si>
  <si>
    <t>pliks-plaksis (kõik kõigiga)</t>
  </si>
  <si>
    <t>5. Veteranide (55+) EM, TRIO</t>
  </si>
  <si>
    <t>6. Meeste EM, TRIO, TUL</t>
  </si>
  <si>
    <t>(pliks-plaks), ÜKSIK</t>
  </si>
  <si>
    <t>November 2019</t>
  </si>
  <si>
    <t>17. Juunioride MM, TRIO, TUL</t>
  </si>
  <si>
    <t>ja</t>
  </si>
  <si>
    <t>17. Naiste MM, TRIO, TUL</t>
  </si>
  <si>
    <t>Phnom Penh (Kambodža)</t>
  </si>
  <si>
    <t>ÜKSIK, DUO, SEGADUO, TRIO, SEGATRIO</t>
  </si>
  <si>
    <t>Ida-Viru reitinguvõistlused on rasvases trükis ja sinise taustaga</t>
  </si>
  <si>
    <t xml:space="preserve">Voka karikavõistluste sari on rohelise taustaga. </t>
  </si>
  <si>
    <t>Rahvusvahelised ja katsevõistlused on sinisega ja kaldkirjas</t>
  </si>
  <si>
    <t>Eesti reitingus läheb arvesse 8 võistlust 12st  (4 reitinguvõistlust 8st + 5 Eesti MV-d 8st) + sisereiting</t>
  </si>
  <si>
    <t>IDA-VIRUMAA PETANGIREITING 2019</t>
  </si>
  <si>
    <t>Peida halli taustaga veerud</t>
  </si>
  <si>
    <t>Punktid</t>
  </si>
  <si>
    <t>Kuld</t>
  </si>
  <si>
    <t>Hõbe</t>
  </si>
  <si>
    <t>Pronks</t>
  </si>
  <si>
    <t>vasak täht on 40 punkti, järgmine 34 punkti jne</t>
  </si>
  <si>
    <t>kolm numbrit vasakul ja komakoht on punktisumma tekstina</t>
  </si>
  <si>
    <t>paremus- järjestus kasutab seda veergu</t>
  </si>
  <si>
    <t>nimed tähestiku järgi tagurpidi</t>
  </si>
  <si>
    <t>kolm numbrit paremal näitavad, mitmes on nimi tähestiku järgi tagant poolt</t>
  </si>
  <si>
    <t>sordi selle veeru järgi suuremast väiksemaks</t>
  </si>
  <si>
    <t>K-Järve KV</t>
  </si>
  <si>
    <t>Viru SK MV</t>
  </si>
  <si>
    <t>Ida-Viru MV</t>
  </si>
  <si>
    <t>K-Järve MV</t>
  </si>
  <si>
    <t>Jõhvi MV</t>
  </si>
  <si>
    <t>Osalusi</t>
  </si>
  <si>
    <t>Medaleid</t>
  </si>
  <si>
    <t>Võite</t>
  </si>
  <si>
    <t>KOHT</t>
  </si>
  <si>
    <t>KOKKU</t>
  </si>
  <si>
    <t>***</t>
  </si>
  <si>
    <t>**</t>
  </si>
  <si>
    <t>*</t>
  </si>
  <si>
    <t>N</t>
  </si>
  <si>
    <t>J</t>
  </si>
  <si>
    <t>Üld</t>
  </si>
  <si>
    <t>Nimi</t>
  </si>
  <si>
    <t>K</t>
  </si>
  <si>
    <t>val 2</t>
  </si>
  <si>
    <t>val 1&amp;2</t>
  </si>
  <si>
    <t>jä 1&amp;2</t>
  </si>
  <si>
    <t>val 3</t>
  </si>
  <si>
    <t>val 1&amp;2&amp;3</t>
  </si>
  <si>
    <t>jä 1&amp;2&amp;3</t>
  </si>
  <si>
    <t>kehvim Trio</t>
  </si>
  <si>
    <t>kehvim Duo</t>
  </si>
  <si>
    <t>kehvim Üksik</t>
  </si>
  <si>
    <t>2. kehvim Üksik</t>
  </si>
  <si>
    <t>Oskar Sepp</t>
  </si>
  <si>
    <t>Jaan Sepp</t>
  </si>
  <si>
    <t>Matti Vinni</t>
  </si>
  <si>
    <t>Oleg Rõndenkov</t>
  </si>
  <si>
    <t>Elmo Lageda</t>
  </si>
  <si>
    <t>Kenneth Muusikus</t>
  </si>
  <si>
    <t>Tõnu Piik</t>
  </si>
  <si>
    <t>Andres Veski</t>
  </si>
  <si>
    <t>Mait Metsla</t>
  </si>
  <si>
    <t>Janek Tarto</t>
  </si>
  <si>
    <t>Aarne Välja</t>
  </si>
  <si>
    <t>Boriss Klubov</t>
  </si>
  <si>
    <t>Andrei Grintšak</t>
  </si>
  <si>
    <t>Svetlana Veski</t>
  </si>
  <si>
    <t>n</t>
  </si>
  <si>
    <t>Tõnu Kapper</t>
  </si>
  <si>
    <t>Argo Sepp</t>
  </si>
  <si>
    <t>Vladimir Ogneštšikov</t>
  </si>
  <si>
    <t>Kristo Viljaste</t>
  </si>
  <si>
    <t>Henri Mitt</t>
  </si>
  <si>
    <t>j</t>
  </si>
  <si>
    <t>Urmas Randlaine</t>
  </si>
  <si>
    <t>Oksana Rõndenkova</t>
  </si>
  <si>
    <t>Kalle Orro</t>
  </si>
  <si>
    <t>Enn Tokman</t>
  </si>
  <si>
    <t>Karla Purgats</t>
  </si>
  <si>
    <t>Aigi Orro</t>
  </si>
  <si>
    <t>Tõnis Anton</t>
  </si>
  <si>
    <t>Toomas Tedrekull</t>
  </si>
  <si>
    <t>Romek Tarto</t>
  </si>
  <si>
    <t>Sandra Laura Nõmmeloo</t>
  </si>
  <si>
    <t>Kaspar Mänd</t>
  </si>
  <si>
    <t>Lemmit Toomra</t>
  </si>
  <si>
    <t>Ljudmila Varendi</t>
  </si>
  <si>
    <t>Viktor Švarõgin</t>
  </si>
  <si>
    <t>Jaan Saar</t>
  </si>
  <si>
    <t>Viktor Fjodorov</t>
  </si>
  <si>
    <t>Liidia Põllu</t>
  </si>
  <si>
    <t>Meelis Luud</t>
  </si>
  <si>
    <t>Illar Tõnurist</t>
  </si>
  <si>
    <t>Urmas Jõeäär</t>
  </si>
  <si>
    <t>Klavdia Piik</t>
  </si>
  <si>
    <t>Tarmo Bombe</t>
  </si>
  <si>
    <t>Tõnis Neiland</t>
  </si>
  <si>
    <t>Vadim Tihhonjuk</t>
  </si>
  <si>
    <t>Veiko Parts</t>
  </si>
  <si>
    <t>Ülo Piik</t>
  </si>
  <si>
    <t>Emil Murzajev</t>
  </si>
  <si>
    <t>Sirje Viljaste</t>
  </si>
  <si>
    <t>Vladimir Mihhailov</t>
  </si>
  <si>
    <t>Vello Vasser</t>
  </si>
  <si>
    <t>Marko Rooden</t>
  </si>
  <si>
    <t>Dmitri Salkasev</t>
  </si>
  <si>
    <t>Mikk Rooden</t>
  </si>
  <si>
    <t>Sander Rose</t>
  </si>
  <si>
    <t>Sander Skrabutenas</t>
  </si>
  <si>
    <t>Vilmar Ostumaa</t>
  </si>
  <si>
    <t>Daniil Alekankin</t>
  </si>
  <si>
    <t>Enno Konsa</t>
  </si>
  <si>
    <t>Heili Vasser</t>
  </si>
  <si>
    <t>Jüri Mironjuk</t>
  </si>
  <si>
    <t>Melika Lehtla</t>
  </si>
  <si>
    <t>Peep Peenema</t>
  </si>
  <si>
    <t>Väino Aul</t>
  </si>
  <si>
    <t>Osalejaid</t>
  </si>
  <si>
    <t>Võistkondi</t>
  </si>
  <si>
    <t>Kas 6. etapi kõik osalejad on tabelis?</t>
  </si>
  <si>
    <t xml:space="preserve">Rasvases trükis on aasta uustulnuka tiitli kandidaadid (mängijad, kes pole kolmel eelmisel </t>
  </si>
  <si>
    <t>aastal mahtunud reitingus 30 parema hulka)</t>
  </si>
  <si>
    <t>Kaldkirjas on teiste maakondade mängijad</t>
  </si>
  <si>
    <t xml:space="preserve">2019 aasta uustulnukaks ei saa kandideerida: </t>
  </si>
  <si>
    <t>VOKA 6. KARIKAVÕISTLUSED 2019</t>
  </si>
  <si>
    <t xml:space="preserve">  </t>
  </si>
  <si>
    <t>Arvesse läheb 9 paremat tulemust 10st. Finaali pääsemiseks on vajalik osavõtt vähemalt 3st etapist.</t>
  </si>
  <si>
    <t>Finaal mängitakse kahe kaotuse süsteemis üksimängus.</t>
  </si>
  <si>
    <t>kehvemat tulemust võetakse maha</t>
  </si>
  <si>
    <t>vasak täht on 17 punkti, järgmine 16 punkti jne</t>
  </si>
  <si>
    <t>paremus-järjestus</t>
  </si>
  <si>
    <t>nimi tähestik</t>
  </si>
  <si>
    <t>kolm paremat numbrit näitavad mitmes on nimi tähestiku järgi</t>
  </si>
  <si>
    <t>sordi selle</t>
  </si>
  <si>
    <t>max 17 võistkonda</t>
  </si>
  <si>
    <t>kasutab</t>
  </si>
  <si>
    <t>järgi</t>
  </si>
  <si>
    <t>edasi/</t>
  </si>
  <si>
    <t>Viru SK</t>
  </si>
  <si>
    <t>Voka</t>
  </si>
  <si>
    <t>Kohalikud</t>
  </si>
  <si>
    <t>M</t>
  </si>
  <si>
    <t>Mehed</t>
  </si>
  <si>
    <t>Naised</t>
  </si>
  <si>
    <t>Juuniorid</t>
  </si>
  <si>
    <t>V</t>
  </si>
  <si>
    <t>val2</t>
  </si>
  <si>
    <t>jä val 1&amp;2</t>
  </si>
  <si>
    <t>val3</t>
  </si>
  <si>
    <t>jä val 1&amp;2&amp;3</t>
  </si>
  <si>
    <t>rank</t>
  </si>
  <si>
    <t>/koht</t>
  </si>
  <si>
    <t>v</t>
  </si>
  <si>
    <t>k</t>
  </si>
  <si>
    <t>m</t>
  </si>
  <si>
    <t>Fredi Müür</t>
  </si>
  <si>
    <t>Karoliina Sild</t>
  </si>
  <si>
    <t>Eve Müüdla</t>
  </si>
  <si>
    <t>Margus Vasser</t>
  </si>
  <si>
    <t>Rainer Schmidt</t>
  </si>
  <si>
    <t>Kristiin-Marleen Neiland</t>
  </si>
  <si>
    <t>Ksenija Matšneva</t>
  </si>
  <si>
    <t>Peeter Rjabov</t>
  </si>
  <si>
    <t>Kohalikud mängijad on rasvases trükis</t>
  </si>
  <si>
    <t>A</t>
  </si>
  <si>
    <t>B</t>
  </si>
  <si>
    <t>C</t>
  </si>
  <si>
    <t>D</t>
  </si>
  <si>
    <t>E</t>
  </si>
  <si>
    <t>F</t>
  </si>
  <si>
    <t>G</t>
  </si>
  <si>
    <t>H</t>
  </si>
  <si>
    <t>I</t>
  </si>
  <si>
    <t>L</t>
  </si>
  <si>
    <t>O</t>
  </si>
  <si>
    <t>P</t>
  </si>
  <si>
    <t>Q</t>
  </si>
  <si>
    <t>S</t>
  </si>
  <si>
    <t>U</t>
  </si>
  <si>
    <t>W</t>
  </si>
  <si>
    <t>X</t>
  </si>
  <si>
    <t>Y</t>
  </si>
  <si>
    <t>Z</t>
  </si>
  <si>
    <t>Etappide arvule vastav täht</t>
  </si>
  <si>
    <t>Ida-Viru punktid</t>
  </si>
  <si>
    <t>Kollase taustaga on põhitabelile lisatud punktid</t>
  </si>
  <si>
    <t>DSQ</t>
  </si>
  <si>
    <t>kaks tühikut - ei osalenud</t>
  </si>
  <si>
    <t>2019 ei kasuta seda lehte</t>
  </si>
  <si>
    <t>Voka punktid</t>
  </si>
  <si>
    <t>Kui osales 11 võistkonda, sai võitja 11 punkti</t>
  </si>
  <si>
    <t>Jussi turniiridel algavad kõik mängud seisult 1:1</t>
  </si>
  <si>
    <t>Võit</t>
  </si>
  <si>
    <t>punkti</t>
  </si>
  <si>
    <t>Viik</t>
  </si>
  <si>
    <t>Kui mängija nimi on vigane või puudub reitingutabelist, teeb punaseks</t>
  </si>
  <si>
    <t>Kaotus</t>
  </si>
  <si>
    <t>punktid</t>
  </si>
  <si>
    <t>enne 1 koma</t>
  </si>
  <si>
    <t>pärast 1 koma</t>
  </si>
  <si>
    <t>1 ja 2 koma vahel</t>
  </si>
  <si>
    <t>pärast 2 koma</t>
  </si>
  <si>
    <t>1. voor</t>
  </si>
  <si>
    <t>2. voor</t>
  </si>
  <si>
    <t>3. voor</t>
  </si>
  <si>
    <t>4. voor</t>
  </si>
  <si>
    <t>5. voor</t>
  </si>
  <si>
    <t>Buch</t>
  </si>
  <si>
    <t>Suhe</t>
  </si>
  <si>
    <t>kokku</t>
  </si>
  <si>
    <t>:</t>
  </si>
  <si>
    <t>KOHTLA-JÄRVE 18. KARIKAVÕISTLUSED 2019</t>
  </si>
  <si>
    <t>Kolme etapi tulemused liidetakse kokku</t>
  </si>
  <si>
    <t>Andrei Grintšak, Oleg Rõndenkov</t>
  </si>
  <si>
    <t>Tõnu Kapper, Vladimir Ogneštšikov</t>
  </si>
  <si>
    <t>Mait Metsla, Matti Vinni</t>
  </si>
  <si>
    <t>Elmo Lageda, Tõnu Piik</t>
  </si>
  <si>
    <t>Margus Vasser, Vello Vasser</t>
  </si>
  <si>
    <t>Meelis Luud, Sander Rose</t>
  </si>
  <si>
    <t>Jaan Saar, Klavdia Piik</t>
  </si>
  <si>
    <t>Enn Tokman, Tarmo Bombe</t>
  </si>
  <si>
    <t>vaba voor</t>
  </si>
  <si>
    <t>Andres Veski, Henri Mitt</t>
  </si>
  <si>
    <t>Karoliina Sild, Kenneth Muusikus, Tõnis Neiland</t>
  </si>
  <si>
    <t>Oksana Rõndenkova, Oleg Rõndenkov</t>
  </si>
  <si>
    <t>Aarne Välja, Janek Tarto</t>
  </si>
  <si>
    <t>Andrei Grintšak, Boriss Klubov</t>
  </si>
  <si>
    <t>Argo Sepp, Karla Purgats</t>
  </si>
  <si>
    <t>Andres Veski, Svetlana Veski</t>
  </si>
  <si>
    <t>Jaan Sepp, Oskar Sepp</t>
  </si>
  <si>
    <t>Illar Tõnurist, Jaan Saar</t>
  </si>
  <si>
    <t>Aigi Orro, Väino Aul</t>
  </si>
  <si>
    <t>Henri Mitt, Urmas Randlaine</t>
  </si>
  <si>
    <t>Ivar Viljaste, Tõnu Kapper</t>
  </si>
  <si>
    <t>Johannes Neiland, Tõnis Neiland</t>
  </si>
  <si>
    <t>Kaspar Mänd, Peep Peenema</t>
  </si>
  <si>
    <t>Illar Tõnurist, Jaan Saar, Kenneth Muusikus</t>
  </si>
  <si>
    <t>Karla Purgats, Lemmit Toomra</t>
  </si>
  <si>
    <t>Matti Vinni, Vello Vasser</t>
  </si>
  <si>
    <t>Fredi Müür, Kenneth Muusikus</t>
  </si>
  <si>
    <t>Boriss Klubov, Tõnu Kapper</t>
  </si>
  <si>
    <t>Johannes Neiland, Liidia Põllu</t>
  </si>
  <si>
    <t>Illar Tõnurist, Kaspar Mänd, Urmas Jõeäär</t>
  </si>
  <si>
    <t>Ivar Viljaste, Matti Vinni</t>
  </si>
  <si>
    <t>Kaspar Mänd, Mait Metsla</t>
  </si>
  <si>
    <t>Heili Vasser, Vello Vasser</t>
  </si>
  <si>
    <t>Johannes Neiland, Melika Lehtla</t>
  </si>
  <si>
    <t>Daniil Alekankin, Emil Murzajev</t>
  </si>
  <si>
    <t>Liidia Põllu, Vladimir Ogneštšikov</t>
  </si>
  <si>
    <t>Illar Tõnurist, Vilmar Ostumaa</t>
  </si>
  <si>
    <t>DSQ pärast 2. vooru</t>
  </si>
  <si>
    <t>Kenneth Muusikus, Mait Metsla</t>
  </si>
  <si>
    <t>Andres Veski, Kaspar Mänd</t>
  </si>
  <si>
    <t>Jüri Mironjuk, Tõnu Kapper</t>
  </si>
  <si>
    <t>Kaspar Mänd, Tõnis Anton</t>
  </si>
  <si>
    <t>Eve Müüdla, Johannes Neiland</t>
  </si>
  <si>
    <t>Fredi Müür, Rainer Schmidt</t>
  </si>
  <si>
    <t>Enn Tokman, Liidia Põllu, Tarmo Bombe</t>
  </si>
  <si>
    <t>Aigi Orro, Johannes Neiland, Urmas Jõeäär</t>
  </si>
  <si>
    <t>Kenneth Muusikus, Sandra Laura Nõmmeloo</t>
  </si>
  <si>
    <t>Jaan Saar, Liidia Põllu, Vladimir Mihhailov</t>
  </si>
  <si>
    <t>Illar Tõnurist, Peeter Rjabov</t>
  </si>
  <si>
    <t>Kenneth Muusikus, Urmas Jõeäär</t>
  </si>
  <si>
    <t>Kaspar Mänd, Tarmo Bombe</t>
  </si>
  <si>
    <t>Jaan Saar, Liidia Põllu</t>
  </si>
  <si>
    <t>Aigi Orro, Jaan Sepp</t>
  </si>
  <si>
    <t>Kenneth Muusikus, Peep peenema</t>
  </si>
  <si>
    <t>Henri Mitt, Illar Tõnurist</t>
  </si>
  <si>
    <t>Johannes Neiland, Kaspar Mänd</t>
  </si>
  <si>
    <t>Kristiin-Marleen Neiland, Ksenija Matšneva</t>
  </si>
  <si>
    <t>V1 - VOKA 6. KV 1. ETAPP - DUO</t>
  </si>
  <si>
    <t>Toimumisaeg: K, 08.05.2019 kell 18:00</t>
  </si>
  <si>
    <t>Toimumiskoht: Voka staadion</t>
  </si>
  <si>
    <t>Korraldaja: Johannes Neiland</t>
  </si>
  <si>
    <t>Andres Veski, Tõnu Piik</t>
  </si>
  <si>
    <t>Aulis Paal, Meelis Luud, Rein Allikas</t>
  </si>
  <si>
    <t>Aarne Välja, Henri Mitt</t>
  </si>
  <si>
    <t>Karla Purgats, Kenneth Muusikus</t>
  </si>
  <si>
    <t>Jaan Saar, Oleg Rõndenkov</t>
  </si>
  <si>
    <t>Enn Tokman, Illar Tõnurist</t>
  </si>
  <si>
    <t>Andrei Grintšak, Melika Lehtla</t>
  </si>
  <si>
    <t>Aleksander Korikov, Sandra Laura Nõmmeloo, Tarmo Bombe</t>
  </si>
  <si>
    <t>Jaan Sepp, Klavdia Piik</t>
  </si>
  <si>
    <t>Boriss Klubov, Elmo Lageda</t>
  </si>
  <si>
    <t>Ivar Viljaste, Kristo Viljaste</t>
  </si>
  <si>
    <t>Johannes Neiland, Urmas Jõeäär</t>
  </si>
  <si>
    <t>3 võitu</t>
  </si>
  <si>
    <t>Koht</t>
  </si>
  <si>
    <t>0v</t>
  </si>
  <si>
    <t>6. koht</t>
  </si>
  <si>
    <t>1v</t>
  </si>
  <si>
    <t>4. koht</t>
  </si>
  <si>
    <t>5. koht</t>
  </si>
  <si>
    <t>2v</t>
  </si>
  <si>
    <t>3. koht</t>
  </si>
  <si>
    <t>2 võitu</t>
  </si>
  <si>
    <t>Omavahel</t>
  </si>
  <si>
    <t>8. koht</t>
  </si>
  <si>
    <t>10. koht</t>
  </si>
  <si>
    <t>11. koht</t>
  </si>
  <si>
    <t>9. koht</t>
  </si>
  <si>
    <t>7. koht</t>
  </si>
  <si>
    <t>Oleg Rõndenkov, Toomas Tedrekull</t>
  </si>
  <si>
    <t>Ivar Viljaste, Sirje Viljaste</t>
  </si>
  <si>
    <t>Argo Sepp, Mait Metsla</t>
  </si>
  <si>
    <t>Enn Tokman, Johannes Neiland, Kaspar Mänd</t>
  </si>
  <si>
    <r>
      <t>Koht</t>
    </r>
    <r>
      <rPr>
        <sz val="10"/>
        <color indexed="8"/>
        <rFont val="Arial"/>
        <family val="2"/>
        <charset val="186"/>
      </rPr>
      <t>/edasi</t>
    </r>
  </si>
  <si>
    <t>EELVOOR</t>
  </si>
  <si>
    <t>VEERANDFINAALID</t>
  </si>
  <si>
    <t>POOLFINAALID</t>
  </si>
  <si>
    <t>PRONKSIMÄNG</t>
  </si>
  <si>
    <t>FINAAL</t>
  </si>
  <si>
    <t>Üksiku</t>
  </si>
  <si>
    <t>min</t>
  </si>
  <si>
    <t>max</t>
  </si>
  <si>
    <t>V-K</t>
  </si>
  <si>
    <t>Vo</t>
  </si>
  <si>
    <t>V2</t>
  </si>
  <si>
    <t>+/- o</t>
  </si>
  <si>
    <t>V3</t>
  </si>
  <si>
    <t>'+/-</t>
  </si>
  <si>
    <t>suhe</t>
  </si>
  <si>
    <t>...,V3.+/-</t>
  </si>
  <si>
    <t>V,Vo</t>
  </si>
  <si>
    <t>Aarne Välja, Janek Tarto, Romek Tarto</t>
  </si>
  <si>
    <t>Jaan Sepp, Mait Metsla, Oskar Sepp</t>
  </si>
  <si>
    <t>Ivar Viljaste, Matti Vinni, Oleg Rõndenkov</t>
  </si>
  <si>
    <t>Argo Sepp, Ljudmila Varendi, Viktor Švarõgin</t>
  </si>
  <si>
    <t>Boriss Klubov, Tõnu Kapper, Vladimir Ogneštšikov</t>
  </si>
  <si>
    <t>Andrei Grintšak, Klavdia Piik, Tõnu Piik</t>
  </si>
  <si>
    <t>1-6</t>
  </si>
  <si>
    <t>2-5</t>
  </si>
  <si>
    <t>3-4</t>
  </si>
  <si>
    <t>1-5</t>
  </si>
  <si>
    <t>2-4</t>
  </si>
  <si>
    <t>3-6</t>
  </si>
  <si>
    <t>1-4</t>
  </si>
  <si>
    <t>2-3</t>
  </si>
  <si>
    <t>5-6</t>
  </si>
  <si>
    <t>1-3</t>
  </si>
  <si>
    <t>2-6</t>
  </si>
  <si>
    <t>4-5</t>
  </si>
  <si>
    <t>1-2</t>
  </si>
  <si>
    <t>3-5</t>
  </si>
  <si>
    <t>4-6</t>
  </si>
  <si>
    <t>1 - 6 koht</t>
  </si>
  <si>
    <t>1. koht</t>
  </si>
  <si>
    <t>2. koht</t>
  </si>
  <si>
    <t>2 ja 3 koma vahel</t>
  </si>
  <si>
    <t>pärast 3 koma</t>
  </si>
  <si>
    <t>V.Vo.V2.+/-</t>
  </si>
  <si>
    <t>Kenneth Muusikus, Oksana Rõndenkova, Oleg Rõndenkov</t>
  </si>
  <si>
    <t>Henri Mitt, Johannes Neiland, Kaspar Mänd, Sandra Laura Nõmmeloo</t>
  </si>
  <si>
    <t>Andrei Grintšak, Elmo Lageda, Tõnu Piik</t>
  </si>
  <si>
    <t>Enn Tokman, Janek Tarto, Veiko Parts</t>
  </si>
  <si>
    <t>Andres Veski, Karla Purgats, Tõnis Anton</t>
  </si>
  <si>
    <t>1 - 4 koht</t>
  </si>
  <si>
    <t>A1</t>
  </si>
  <si>
    <t>B2</t>
  </si>
  <si>
    <t>B1</t>
  </si>
  <si>
    <t>A2</t>
  </si>
  <si>
    <t>5 - 8 koht</t>
  </si>
  <si>
    <t>A3</t>
  </si>
  <si>
    <t>B4</t>
  </si>
  <si>
    <t>B3</t>
  </si>
  <si>
    <t>A4</t>
  </si>
  <si>
    <t>+/-</t>
  </si>
  <si>
    <t>1 - 8 koht</t>
  </si>
  <si>
    <t>D1</t>
  </si>
  <si>
    <t>C2</t>
  </si>
  <si>
    <t>C1</t>
  </si>
  <si>
    <t>D2</t>
  </si>
  <si>
    <t>9 - 16 koht</t>
  </si>
  <si>
    <t>D3</t>
  </si>
  <si>
    <t>C4</t>
  </si>
  <si>
    <t>C3</t>
  </si>
  <si>
    <t>D4</t>
  </si>
  <si>
    <t>12. koht</t>
  </si>
  <si>
    <t>13. koht</t>
  </si>
  <si>
    <t>14. koht</t>
  </si>
  <si>
    <t>15. koht</t>
  </si>
  <si>
    <t>16. koht</t>
  </si>
  <si>
    <t>17 - 20 koht</t>
  </si>
  <si>
    <t>A5</t>
  </si>
  <si>
    <t>D5</t>
  </si>
  <si>
    <t>C5</t>
  </si>
  <si>
    <t>17. koht</t>
  </si>
  <si>
    <t>B5</t>
  </si>
  <si>
    <t>18. koht</t>
  </si>
  <si>
    <t>19. koht</t>
  </si>
  <si>
    <t>20. koht</t>
  </si>
  <si>
    <t>Ivar Viljaste, Kristo Viljaste, Matti Vinni</t>
  </si>
  <si>
    <t>Argo Sepp, Karla Purgats, Lemmit Toomra</t>
  </si>
  <si>
    <t>Tõnis Anton, Vadim Tihhonjuk, Viktor Fjodorov</t>
  </si>
  <si>
    <t>Johannes Neiland, Kenneth Muusikus, Urmas Randlaine</t>
  </si>
  <si>
    <t>Andrei Grintšak, Oksana Rõndenkova, Oleg Rõndenkov</t>
  </si>
  <si>
    <t>Boriss Klubov, Elmo Lageda, Tõnu Piik</t>
  </si>
  <si>
    <t>Andres Veski, Meelis Luud, Svetlana Veski</t>
  </si>
  <si>
    <t>Liidia Põllu, Tõnu Kapper, Vladimir Ogneštšikov</t>
  </si>
  <si>
    <t>Enn Tokman, Illar Tõnurist, Tarmo Bombe</t>
  </si>
  <si>
    <t>Argo Sepp, Toomas Tedrekull</t>
  </si>
  <si>
    <t>Johannes Neiland, Kaspar Mänd, Mait Metsla</t>
  </si>
  <si>
    <t>Aigi Orro, Kalle Orro</t>
  </si>
  <si>
    <t>Ljudmila Varendi, Viktor Švarõgin</t>
  </si>
  <si>
    <t>Dmitri Salkasev, Tõnis Anton</t>
  </si>
  <si>
    <t>Aigi Orro, Andres Veski, Kalle Orro, Svetlana Veski</t>
  </si>
  <si>
    <t>Kenneth Muusikus, Oleg Rõndenkov, Tõnis Neiland</t>
  </si>
  <si>
    <t>Andrei Grintšak, Tõnis Anton, Viktor Fjodorov</t>
  </si>
  <si>
    <t>Andres Veski, Meelis Luud</t>
  </si>
  <si>
    <t>Liidia Põllu, Vladimir Mihhailov</t>
  </si>
  <si>
    <t>Illar Tõnurist, Tarmo Bombe</t>
  </si>
  <si>
    <t>Elmo lageda</t>
  </si>
  <si>
    <t>Seisuga 29.09.2019</t>
  </si>
  <si>
    <r>
      <t xml:space="preserve">TRIO </t>
    </r>
    <r>
      <rPr>
        <sz val="10"/>
        <color theme="1"/>
        <rFont val="Arial"/>
        <family val="2"/>
        <charset val="186"/>
      </rPr>
      <t>(10:00)</t>
    </r>
  </si>
  <si>
    <t>6. Warrios Cup, DUO</t>
  </si>
  <si>
    <t>6.Warrios Cup, TRIO</t>
  </si>
  <si>
    <t>9. U23 EM (mehed, naised), TRIO</t>
  </si>
  <si>
    <t xml:space="preserve">22. EuroCup finaalid, </t>
  </si>
  <si>
    <t xml:space="preserve">22. EuroCup kvalifikatsioon, Ü,D,SD,T,ST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</si>
</sst>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quot; €&quot;"/>
    <numFmt numFmtId="165" formatCode="#,##0\ [$€-1]"/>
    <numFmt numFmtId="166" formatCode="0;\-0;;@"/>
    <numFmt numFmtId="167" formatCode="##&quot;.&quot;"/>
    <numFmt numFmtId="168" formatCode="\+0;\-0;0"/>
    <numFmt numFmtId="169" formatCode="0.0000"/>
  </numFmts>
  <fonts count="64" x14ac:knownFonts="1">
    <font>
      <sz val="10"/>
      <color theme="1"/>
      <name val="Arial"/>
      <family val="2"/>
      <charset val="186"/>
    </font>
    <font>
      <sz val="10"/>
      <color theme="1"/>
      <name val="Arial"/>
      <family val="2"/>
      <charset val="186"/>
    </font>
    <font>
      <b/>
      <sz val="10"/>
      <color theme="0"/>
      <name val="Arial"/>
      <family val="2"/>
      <charset val="186"/>
    </font>
    <font>
      <sz val="10"/>
      <color rgb="FFFF0000"/>
      <name val="Arial"/>
      <family val="2"/>
      <charset val="186"/>
    </font>
    <font>
      <b/>
      <sz val="10"/>
      <color theme="1"/>
      <name val="Arial"/>
      <family val="2"/>
      <charset val="186"/>
    </font>
    <font>
      <sz val="11"/>
      <color theme="1"/>
      <name val="Calibri"/>
      <family val="2"/>
      <charset val="186"/>
      <scheme val="minor"/>
    </font>
    <font>
      <u/>
      <sz val="10"/>
      <color theme="10"/>
      <name val="Arial"/>
      <family val="2"/>
      <charset val="186"/>
    </font>
    <font>
      <u/>
      <sz val="10"/>
      <color theme="1"/>
      <name val="Arial"/>
      <family val="2"/>
      <charset val="186"/>
    </font>
    <font>
      <sz val="10"/>
      <color rgb="FF000000"/>
      <name val="Times New Roman"/>
      <family val="1"/>
      <charset val="186"/>
    </font>
    <font>
      <sz val="10"/>
      <color theme="0" tint="-0.499984740745262"/>
      <name val="Arial"/>
      <family val="2"/>
      <charset val="186"/>
    </font>
    <font>
      <u/>
      <sz val="10"/>
      <color theme="0" tint="-0.499984740745262"/>
      <name val="Arial"/>
      <family val="2"/>
      <charset val="186"/>
    </font>
    <font>
      <b/>
      <u/>
      <sz val="10"/>
      <color theme="10"/>
      <name val="Arial"/>
      <family val="2"/>
      <charset val="186"/>
    </font>
    <font>
      <sz val="10"/>
      <color rgb="FF0000FF"/>
      <name val="Arial"/>
      <family val="2"/>
      <charset val="186"/>
    </font>
    <font>
      <u/>
      <sz val="10"/>
      <color rgb="FF0000FF"/>
      <name val="Arial"/>
      <family val="2"/>
      <charset val="186"/>
    </font>
    <font>
      <strike/>
      <sz val="10"/>
      <color theme="1"/>
      <name val="Arial"/>
      <family val="2"/>
      <charset val="186"/>
    </font>
    <font>
      <u/>
      <sz val="11"/>
      <color theme="10"/>
      <name val="Calibri"/>
      <family val="2"/>
      <charset val="186"/>
      <scheme val="minor"/>
    </font>
    <font>
      <b/>
      <sz val="10"/>
      <color rgb="FF0070C0"/>
      <name val="Arial"/>
      <family val="2"/>
      <charset val="186"/>
    </font>
    <font>
      <b/>
      <u/>
      <sz val="10"/>
      <color theme="1"/>
      <name val="Arial"/>
      <family val="2"/>
      <charset val="186"/>
    </font>
    <font>
      <u/>
      <sz val="10"/>
      <color rgb="FF92D050"/>
      <name val="Arial"/>
      <family val="2"/>
      <charset val="186"/>
    </font>
    <font>
      <sz val="10"/>
      <name val="Arial"/>
      <family val="2"/>
      <charset val="204"/>
    </font>
    <font>
      <b/>
      <sz val="8"/>
      <color indexed="81"/>
      <name val="Tahoma"/>
      <family val="2"/>
      <charset val="186"/>
    </font>
    <font>
      <b/>
      <sz val="10"/>
      <color rgb="FFFF0000"/>
      <name val="Arial"/>
      <family val="2"/>
      <charset val="186"/>
    </font>
    <font>
      <sz val="8"/>
      <color theme="5" tint="0.39997558519241921"/>
      <name val="Arial"/>
      <family val="2"/>
      <charset val="186"/>
    </font>
    <font>
      <i/>
      <sz val="10"/>
      <color theme="8" tint="0.39997558519241921"/>
      <name val="Arial"/>
      <family val="2"/>
      <charset val="186"/>
    </font>
    <font>
      <i/>
      <u/>
      <sz val="10"/>
      <color theme="8" tint="0.39997558519241921"/>
      <name val="Arial"/>
      <family val="2"/>
      <charset val="186"/>
    </font>
    <font>
      <sz val="10"/>
      <color theme="5" tint="0.39997558519241921"/>
      <name val="Arial"/>
      <family val="2"/>
      <charset val="186"/>
    </font>
    <font>
      <strike/>
      <u/>
      <sz val="10"/>
      <color theme="1"/>
      <name val="Arial"/>
      <family val="2"/>
      <charset val="186"/>
    </font>
    <font>
      <sz val="10"/>
      <color theme="4" tint="0.39997558519241921"/>
      <name val="Arial"/>
      <family val="2"/>
      <charset val="186"/>
    </font>
    <font>
      <b/>
      <sz val="10"/>
      <color indexed="8"/>
      <name val="Arial"/>
      <family val="2"/>
      <charset val="186"/>
    </font>
    <font>
      <b/>
      <sz val="8"/>
      <color indexed="10"/>
      <name val="Tahoma"/>
      <family val="2"/>
      <charset val="186"/>
    </font>
    <font>
      <i/>
      <sz val="10"/>
      <color theme="1"/>
      <name val="Arial"/>
      <family val="2"/>
      <charset val="186"/>
    </font>
    <font>
      <sz val="10"/>
      <color rgb="FFCC0000"/>
      <name val="Arial"/>
      <family val="2"/>
      <charset val="186"/>
    </font>
    <font>
      <sz val="11"/>
      <color theme="1"/>
      <name val="Calibri"/>
      <family val="2"/>
      <scheme val="minor"/>
    </font>
    <font>
      <b/>
      <sz val="10"/>
      <color theme="1"/>
      <name val="Calibri"/>
      <family val="2"/>
      <charset val="186"/>
      <scheme val="minor"/>
    </font>
    <font>
      <b/>
      <sz val="10"/>
      <color rgb="FFCC0000"/>
      <name val="Arial"/>
      <family val="2"/>
      <charset val="186"/>
    </font>
    <font>
      <b/>
      <sz val="10"/>
      <color rgb="FF00B050"/>
      <name val="Arial"/>
      <family val="2"/>
      <charset val="186"/>
    </font>
    <font>
      <sz val="10"/>
      <color rgb="FF00B050"/>
      <name val="Arial"/>
      <family val="2"/>
      <charset val="186"/>
    </font>
    <font>
      <sz val="10"/>
      <name val="Arial"/>
      <family val="2"/>
      <charset val="186"/>
    </font>
    <font>
      <sz val="10"/>
      <color theme="0" tint="-0.34998626667073579"/>
      <name val="Arial"/>
      <family val="2"/>
      <charset val="186"/>
    </font>
    <font>
      <sz val="11"/>
      <color indexed="8"/>
      <name val="Calibri"/>
      <family val="2"/>
      <charset val="186"/>
    </font>
    <font>
      <sz val="10"/>
      <color theme="0" tint="-0.249977111117893"/>
      <name val="Arial"/>
      <family val="2"/>
      <charset val="186"/>
    </font>
    <font>
      <sz val="10"/>
      <color rgb="FF0070C0"/>
      <name val="Arial"/>
      <family val="2"/>
      <charset val="186"/>
    </font>
    <font>
      <sz val="10"/>
      <color rgb="FF00B0F0"/>
      <name val="Arial"/>
      <family val="2"/>
      <charset val="186"/>
    </font>
    <font>
      <b/>
      <sz val="9"/>
      <color theme="1"/>
      <name val="Arial"/>
      <family val="2"/>
      <charset val="186"/>
    </font>
    <font>
      <b/>
      <sz val="9"/>
      <color rgb="FFCC0000"/>
      <name val="Arial"/>
      <family val="2"/>
      <charset val="186"/>
    </font>
    <font>
      <b/>
      <sz val="10"/>
      <color theme="0" tint="-0.34998626667073579"/>
      <name val="Arial"/>
      <family val="2"/>
      <charset val="186"/>
    </font>
    <font>
      <b/>
      <sz val="8"/>
      <color rgb="FF0070C0"/>
      <name val="Arial"/>
      <family val="2"/>
      <charset val="186"/>
    </font>
    <font>
      <b/>
      <sz val="8"/>
      <color theme="2" tint="-0.499984740745262"/>
      <name val="Arial"/>
      <family val="2"/>
      <charset val="186"/>
    </font>
    <font>
      <b/>
      <sz val="10"/>
      <color rgb="FF00B0F0"/>
      <name val="Arial"/>
      <family val="2"/>
      <charset val="186"/>
    </font>
    <font>
      <b/>
      <sz val="10"/>
      <color rgb="FFCC0066"/>
      <name val="Arial"/>
      <family val="2"/>
      <charset val="186"/>
    </font>
    <font>
      <b/>
      <sz val="10"/>
      <color theme="2" tint="-0.499984740745262"/>
      <name val="Arial"/>
      <family val="2"/>
      <charset val="186"/>
    </font>
    <font>
      <b/>
      <sz val="10"/>
      <color theme="0" tint="-0.249977111117893"/>
      <name val="Arial"/>
      <family val="2"/>
      <charset val="186"/>
    </font>
    <font>
      <sz val="10"/>
      <color theme="0" tint="-0.14999847407452621"/>
      <name val="Arial"/>
      <family val="2"/>
      <charset val="186"/>
    </font>
    <font>
      <b/>
      <sz val="10"/>
      <color theme="0" tint="-0.14999847407452621"/>
      <name val="Arial"/>
      <family val="2"/>
      <charset val="186"/>
    </font>
    <font>
      <b/>
      <strike/>
      <sz val="8"/>
      <color indexed="40"/>
      <name val="Tahoma"/>
      <family val="2"/>
      <charset val="186"/>
    </font>
    <font>
      <sz val="8"/>
      <color indexed="81"/>
      <name val="Tahoma"/>
      <family val="2"/>
      <charset val="186"/>
    </font>
    <font>
      <sz val="10"/>
      <color theme="0"/>
      <name val="Arial"/>
      <family val="2"/>
      <charset val="186"/>
    </font>
    <font>
      <sz val="10"/>
      <color indexed="8"/>
      <name val="Arial"/>
      <family val="2"/>
      <charset val="186"/>
    </font>
    <font>
      <sz val="10"/>
      <color indexed="8"/>
      <name val="Times New Roman"/>
      <family val="1"/>
      <charset val="186"/>
    </font>
    <font>
      <u/>
      <sz val="10"/>
      <color rgb="FF0070C0"/>
      <name val="Arial"/>
      <family val="2"/>
      <charset val="186"/>
    </font>
    <font>
      <sz val="8"/>
      <color theme="1"/>
      <name val="Arial"/>
      <family val="2"/>
      <charset val="186"/>
    </font>
    <font>
      <i/>
      <u/>
      <sz val="10"/>
      <color theme="1"/>
      <name val="Arial"/>
      <family val="2"/>
      <charset val="186"/>
    </font>
    <font>
      <b/>
      <u/>
      <sz val="10"/>
      <name val="Arial"/>
      <family val="2"/>
      <charset val="186"/>
    </font>
    <font>
      <u/>
      <sz val="10"/>
      <name val="Arial"/>
      <family val="2"/>
      <charset val="186"/>
    </font>
  </fonts>
  <fills count="27">
    <fill>
      <patternFill patternType="none"/>
    </fill>
    <fill>
      <patternFill patternType="gray125"/>
    </fill>
    <fill>
      <patternFill patternType="solid">
        <fgColor theme="0" tint="-0.14999847407452621"/>
        <bgColor indexed="64"/>
      </patternFill>
    </fill>
    <fill>
      <patternFill patternType="solid">
        <fgColor rgb="FFCCFF99"/>
        <bgColor indexed="64"/>
      </patternFill>
    </fill>
    <fill>
      <patternFill patternType="solid">
        <fgColor rgb="FFCCFFCC"/>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rgb="FFFFFF99"/>
        <bgColor indexed="64"/>
      </patternFill>
    </fill>
    <fill>
      <patternFill patternType="solid">
        <fgColor rgb="FF92D050"/>
        <bgColor indexed="64"/>
      </patternFill>
    </fill>
    <fill>
      <patternFill patternType="solid">
        <fgColor rgb="FFFFFFCC"/>
        <bgColor indexed="64"/>
      </patternFill>
    </fill>
    <fill>
      <patternFill patternType="solid">
        <fgColor rgb="FFFFFF00"/>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CCECFF"/>
        <bgColor indexed="64"/>
      </patternFill>
    </fill>
    <fill>
      <patternFill patternType="solid">
        <fgColor theme="0"/>
        <bgColor indexed="64"/>
      </patternFill>
    </fill>
    <fill>
      <patternFill patternType="solid">
        <fgColor rgb="FFFFFF66"/>
        <bgColor indexed="64"/>
      </patternFill>
    </fill>
    <fill>
      <patternFill patternType="solid">
        <fgColor rgb="FFFFCC99"/>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FFCCCC"/>
        <bgColor indexed="64"/>
      </patternFill>
    </fill>
    <fill>
      <patternFill patternType="solid">
        <fgColor theme="0" tint="-0.499984740745262"/>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indexed="65"/>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8"/>
      </left>
      <right style="thin">
        <color indexed="8"/>
      </right>
      <top style="thin">
        <color indexed="64"/>
      </top>
      <bottom style="thin">
        <color indexed="64"/>
      </bottom>
      <diagonal/>
    </border>
    <border>
      <left style="thin">
        <color indexed="64"/>
      </left>
      <right style="thin">
        <color indexed="64"/>
      </right>
      <top style="thick">
        <color theme="0" tint="-0.499984740745262"/>
      </top>
      <bottom style="thin">
        <color indexed="64"/>
      </bottom>
      <diagonal/>
    </border>
    <border>
      <left style="thin">
        <color indexed="8"/>
      </left>
      <right style="thin">
        <color indexed="8"/>
      </right>
      <top style="thick">
        <color theme="0" tint="-0.499984740745262"/>
      </top>
      <bottom style="thin">
        <color indexed="64"/>
      </bottom>
      <diagonal/>
    </border>
    <border>
      <left style="thin">
        <color indexed="64"/>
      </left>
      <right/>
      <top style="thin">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style="thin">
        <color theme="0" tint="-0.24994659260841701"/>
      </left>
      <right/>
      <top/>
      <bottom style="thin">
        <color theme="0" tint="-0.24994659260841701"/>
      </bottom>
      <diagonal/>
    </border>
    <border>
      <left style="thin">
        <color theme="0" tint="-0.24994659260841701"/>
      </left>
      <right style="medium">
        <color rgb="FF000000"/>
      </right>
      <top/>
      <bottom style="thin">
        <color theme="0" tint="-0.24994659260841701"/>
      </bottom>
      <diagonal/>
    </border>
    <border>
      <left style="medium">
        <color rgb="FF000000"/>
      </left>
      <right/>
      <top/>
      <bottom/>
      <diagonal/>
    </border>
    <border>
      <left/>
      <right style="medium">
        <color theme="1"/>
      </right>
      <top/>
      <bottom/>
      <diagonal/>
    </border>
    <border>
      <left/>
      <right/>
      <top/>
      <bottom style="thick">
        <color theme="1"/>
      </bottom>
      <diagonal/>
    </border>
    <border>
      <left style="medium">
        <color rgb="FF000000"/>
      </left>
      <right/>
      <top/>
      <bottom style="thick">
        <color theme="1"/>
      </bottom>
      <diagonal/>
    </border>
    <border>
      <left/>
      <right style="medium">
        <color theme="1"/>
      </right>
      <top/>
      <bottom style="thick">
        <color theme="1"/>
      </bottom>
      <diagonal/>
    </border>
    <border>
      <left style="medium">
        <color auto="1"/>
      </left>
      <right/>
      <top style="medium">
        <color auto="1"/>
      </top>
      <bottom/>
      <diagonal/>
    </border>
    <border>
      <left style="thin">
        <color theme="0" tint="-0.24994659260841701"/>
      </left>
      <right style="medium">
        <color auto="1"/>
      </right>
      <top style="medium">
        <color auto="1"/>
      </top>
      <bottom style="thin">
        <color theme="0" tint="-0.24994659260841701"/>
      </bottom>
      <diagonal/>
    </border>
    <border>
      <left style="thin">
        <color theme="0" tint="-0.24994659260841701"/>
      </left>
      <right style="thick">
        <color auto="1"/>
      </right>
      <top style="medium">
        <color auto="1"/>
      </top>
      <bottom style="thin">
        <color theme="0" tint="-0.24994659260841701"/>
      </bottom>
      <diagonal/>
    </border>
    <border>
      <left style="thick">
        <color auto="1"/>
      </left>
      <right/>
      <top style="thick">
        <color theme="1"/>
      </top>
      <bottom/>
      <diagonal/>
    </border>
    <border>
      <left/>
      <right style="medium">
        <color auto="1"/>
      </right>
      <top/>
      <bottom/>
      <diagonal/>
    </border>
    <border>
      <left style="thin">
        <color theme="0" tint="-0.24994659260841701"/>
      </left>
      <right/>
      <top style="medium">
        <color rgb="FF000000"/>
      </top>
      <bottom style="thin">
        <color theme="0" tint="-0.24994659260841701"/>
      </bottom>
      <diagonal/>
    </border>
    <border>
      <left style="medium">
        <color auto="1"/>
      </left>
      <right/>
      <top/>
      <bottom/>
      <diagonal/>
    </border>
    <border>
      <left style="thin">
        <color theme="0" tint="-0.24994659260841701"/>
      </left>
      <right style="medium">
        <color auto="1"/>
      </right>
      <top/>
      <bottom style="thin">
        <color theme="0" tint="-0.24994659260841701"/>
      </bottom>
      <diagonal/>
    </border>
    <border>
      <left style="medium">
        <color rgb="FF000000"/>
      </left>
      <right/>
      <top style="thick">
        <color theme="1"/>
      </top>
      <bottom/>
      <diagonal/>
    </border>
    <border>
      <left style="thin">
        <color theme="0" tint="-0.24994659260841701"/>
      </left>
      <right style="medium">
        <color theme="1"/>
      </right>
      <top style="thick">
        <color theme="1"/>
      </top>
      <bottom style="thin">
        <color theme="0" tint="-0.24994659260841701"/>
      </bottom>
      <diagonal/>
    </border>
    <border>
      <left/>
      <right style="thick">
        <color auto="1"/>
      </right>
      <top/>
      <bottom/>
      <diagonal/>
    </border>
    <border>
      <left style="thick">
        <color auto="1"/>
      </left>
      <right/>
      <top/>
      <bottom/>
      <diagonal/>
    </border>
    <border>
      <left/>
      <right style="medium">
        <color rgb="FF000000"/>
      </right>
      <top/>
      <bottom/>
      <diagonal/>
    </border>
    <border>
      <left style="medium">
        <color auto="1"/>
      </left>
      <right/>
      <top/>
      <bottom style="medium">
        <color auto="1"/>
      </bottom>
      <diagonal/>
    </border>
    <border>
      <left/>
      <right style="medium">
        <color auto="1"/>
      </right>
      <top/>
      <bottom style="medium">
        <color auto="1"/>
      </bottom>
      <diagonal/>
    </border>
    <border>
      <left/>
      <right style="thick">
        <color auto="1"/>
      </right>
      <top/>
      <bottom style="medium">
        <color auto="1"/>
      </bottom>
      <diagonal/>
    </border>
    <border>
      <left style="thick">
        <color auto="1"/>
      </left>
      <right/>
      <top/>
      <bottom style="medium">
        <color auto="1"/>
      </bottom>
      <diagonal/>
    </border>
    <border>
      <left style="medium">
        <color auto="1"/>
      </left>
      <right/>
      <top style="dashDot">
        <color auto="1"/>
      </top>
      <bottom style="medium">
        <color auto="1"/>
      </bottom>
      <diagonal/>
    </border>
    <border>
      <left/>
      <right/>
      <top style="dashDot">
        <color auto="1"/>
      </top>
      <bottom style="medium">
        <color auto="1"/>
      </bottom>
      <diagonal/>
    </border>
    <border>
      <left/>
      <right style="medium">
        <color theme="1"/>
      </right>
      <top style="dashDot">
        <color auto="1"/>
      </top>
      <bottom style="medium">
        <color auto="1"/>
      </bottom>
      <diagonal/>
    </border>
    <border>
      <left style="thin">
        <color theme="0" tint="-0.24994659260841701"/>
      </left>
      <right style="medium">
        <color theme="1"/>
      </right>
      <top/>
      <bottom style="thin">
        <color theme="0" tint="-0.24994659260841701"/>
      </bottom>
      <diagonal/>
    </border>
    <border>
      <left style="medium">
        <color rgb="FF000000"/>
      </left>
      <right/>
      <top/>
      <bottom style="medium">
        <color rgb="FF000000"/>
      </bottom>
      <diagonal/>
    </border>
    <border>
      <left/>
      <right/>
      <top/>
      <bottom style="medium">
        <color rgb="FF000000"/>
      </bottom>
      <diagonal/>
    </border>
    <border>
      <left style="medium">
        <color auto="1"/>
      </left>
      <right/>
      <top/>
      <bottom style="medium">
        <color rgb="FF000000"/>
      </bottom>
      <diagonal/>
    </border>
    <border>
      <left/>
      <right style="medium">
        <color rgb="FF000000"/>
      </right>
      <top/>
      <bottom style="medium">
        <color rgb="FF000000"/>
      </bottom>
      <diagonal/>
    </border>
    <border>
      <left/>
      <right style="medium">
        <color theme="1"/>
      </right>
      <top/>
      <bottom style="medium">
        <color rgb="FF000000"/>
      </bottom>
      <diagonal/>
    </border>
    <border>
      <left/>
      <right/>
      <top style="thin">
        <color theme="0" tint="-0.24994659260841701"/>
      </top>
      <bottom/>
      <diagonal/>
    </border>
    <border>
      <left style="medium">
        <color rgb="FF000000"/>
      </left>
      <right/>
      <top/>
      <bottom style="dashDot">
        <color rgb="FF000000"/>
      </bottom>
      <diagonal/>
    </border>
    <border>
      <left/>
      <right style="medium">
        <color theme="1"/>
      </right>
      <top/>
      <bottom style="dashDot">
        <color rgb="FF000000"/>
      </bottom>
      <diagonal/>
    </border>
    <border>
      <left style="medium">
        <color rgb="FF000000"/>
      </left>
      <right/>
      <top style="dashDot">
        <color rgb="FF000000"/>
      </top>
      <bottom/>
      <diagonal/>
    </border>
    <border>
      <left/>
      <right/>
      <top style="dashDot">
        <color rgb="FF000000"/>
      </top>
      <bottom/>
      <diagonal/>
    </border>
    <border>
      <left/>
      <right style="medium">
        <color theme="1"/>
      </right>
      <top style="dashDot">
        <color rgb="FF000000"/>
      </top>
      <bottom/>
      <diagonal/>
    </border>
    <border>
      <left style="thin">
        <color theme="0" tint="-0.24994659260841701"/>
      </left>
      <right style="medium">
        <color theme="1"/>
      </right>
      <top style="medium">
        <color rgb="FF000000"/>
      </top>
      <bottom style="thin">
        <color theme="0" tint="-0.24994659260841701"/>
      </bottom>
      <diagonal/>
    </border>
    <border>
      <left style="medium">
        <color auto="1"/>
      </left>
      <right/>
      <top style="dashDot">
        <color rgb="FF000000"/>
      </top>
      <bottom/>
      <diagonal/>
    </border>
    <border>
      <left/>
      <right style="medium">
        <color rgb="FF000000"/>
      </right>
      <top/>
      <bottom style="medium">
        <color indexed="64"/>
      </bottom>
      <diagonal/>
    </border>
    <border>
      <left style="medium">
        <color rgb="FF000000"/>
      </left>
      <right/>
      <top style="medium">
        <color auto="1"/>
      </top>
      <bottom/>
      <diagonal/>
    </border>
    <border>
      <left style="thin">
        <color theme="0" tint="-0.24994659260841701"/>
      </left>
      <right style="thick">
        <color rgb="FF000000"/>
      </right>
      <top style="medium">
        <color rgb="FF000000"/>
      </top>
      <bottom style="thin">
        <color theme="0" tint="-0.24994659260841701"/>
      </bottom>
      <diagonal/>
    </border>
    <border>
      <left/>
      <right style="thick">
        <color rgb="FF000000"/>
      </right>
      <top/>
      <bottom/>
      <diagonal/>
    </border>
    <border>
      <left/>
      <right style="medium">
        <color auto="1"/>
      </right>
      <top/>
      <bottom style="medium">
        <color rgb="FF000000"/>
      </bottom>
      <diagonal/>
    </border>
    <border>
      <left/>
      <right style="thick">
        <color rgb="FF000000"/>
      </right>
      <top/>
      <bottom style="medium">
        <color rgb="FF000000"/>
      </bottom>
      <diagonal/>
    </border>
    <border>
      <left/>
      <right/>
      <top style="medium">
        <color rgb="FF000000"/>
      </top>
      <bottom/>
      <diagonal/>
    </border>
    <border>
      <left style="thin">
        <color theme="0" tint="-0.24994659260841701"/>
      </left>
      <right style="medium">
        <color rgb="FF000000"/>
      </right>
      <top style="medium">
        <color rgb="FF000000"/>
      </top>
      <bottom style="thin">
        <color theme="0" tint="-0.24994659260841701"/>
      </bottom>
      <diagonal/>
    </border>
    <border>
      <left/>
      <right style="thick">
        <color rgb="FF000000"/>
      </right>
      <top style="medium">
        <color rgb="FF000000"/>
      </top>
      <bottom/>
      <diagonal/>
    </border>
    <border>
      <left/>
      <right style="thick">
        <color rgb="FF000000"/>
      </right>
      <top/>
      <bottom style="medium">
        <color auto="1"/>
      </bottom>
      <diagonal/>
    </border>
    <border>
      <left/>
      <right style="medium">
        <color rgb="FF000000"/>
      </right>
      <top style="dashDot">
        <color rgb="FF000000"/>
      </top>
      <bottom/>
      <diagonal/>
    </border>
    <border>
      <left style="thin">
        <color theme="0" tint="-0.24994659260841701"/>
      </left>
      <right/>
      <top style="medium">
        <color auto="1"/>
      </top>
      <bottom style="thin">
        <color theme="0" tint="-0.24994659260841701"/>
      </bottom>
      <diagonal/>
    </border>
    <border>
      <left style="thin">
        <color theme="0" tint="-0.24994659260841701"/>
      </left>
      <right style="medium">
        <color rgb="FF000000"/>
      </right>
      <top style="medium">
        <color auto="1"/>
      </top>
      <bottom style="thin">
        <color theme="0" tint="-0.24994659260841701"/>
      </bottom>
      <diagonal/>
    </border>
    <border>
      <left style="medium">
        <color auto="1"/>
      </left>
      <right/>
      <top style="dashDot">
        <color auto="1"/>
      </top>
      <bottom/>
      <diagonal/>
    </border>
    <border>
      <left style="medium">
        <color rgb="FF000000"/>
      </left>
      <right/>
      <top style="dashDot">
        <color auto="1"/>
      </top>
      <bottom/>
      <diagonal/>
    </border>
    <border>
      <left style="medium">
        <color auto="1"/>
      </left>
      <right/>
      <top/>
      <bottom style="dashDot">
        <color auto="1"/>
      </bottom>
      <diagonal/>
    </border>
    <border>
      <left/>
      <right/>
      <top/>
      <bottom style="dashDot">
        <color auto="1"/>
      </bottom>
      <diagonal/>
    </border>
    <border>
      <left/>
      <right/>
      <top style="dashDot">
        <color auto="1"/>
      </top>
      <bottom/>
      <diagonal/>
    </border>
    <border>
      <left style="medium">
        <color auto="1"/>
      </left>
      <right/>
      <top style="medium">
        <color rgb="FF000000"/>
      </top>
      <bottom/>
      <diagonal/>
    </border>
    <border>
      <left style="thin">
        <color theme="0" tint="-0.24994659260841701"/>
      </left>
      <right style="medium">
        <color auto="1"/>
      </right>
      <top style="medium">
        <color rgb="FF000000"/>
      </top>
      <bottom style="thin">
        <color theme="0" tint="-0.24994659260841701"/>
      </bottom>
      <diagonal/>
    </border>
    <border>
      <left style="medium">
        <color rgb="FF000000"/>
      </left>
      <right style="thin">
        <color theme="0" tint="-0.24994659260841701"/>
      </right>
      <top style="medium">
        <color rgb="FF000000"/>
      </top>
      <bottom/>
      <diagonal/>
    </border>
    <border>
      <left/>
      <right/>
      <top/>
      <bottom style="dashDot">
        <color rgb="FF000000"/>
      </bottom>
      <diagonal/>
    </border>
    <border>
      <left/>
      <right style="medium">
        <color rgb="FF000000"/>
      </right>
      <top/>
      <bottom style="dashDot">
        <color rgb="FF000000"/>
      </bottom>
      <diagonal/>
    </border>
    <border>
      <left style="thin">
        <color theme="0" tint="-0.24994659260841701"/>
      </left>
      <right style="thin">
        <color rgb="FF000000"/>
      </right>
      <top style="medium">
        <color rgb="FF000000"/>
      </top>
      <bottom style="thin">
        <color theme="0" tint="-0.24994659260841701"/>
      </bottom>
      <diagonal/>
    </border>
    <border>
      <left style="thin">
        <color theme="0" tint="-0.24994659260841701"/>
      </left>
      <right style="medium">
        <color rgb="FF000000"/>
      </right>
      <top style="medium">
        <color rgb="FF000000"/>
      </top>
      <bottom/>
      <diagonal/>
    </border>
    <border>
      <left/>
      <right style="thin">
        <color rgb="FF000000"/>
      </right>
      <top/>
      <bottom/>
      <diagonal/>
    </border>
    <border>
      <left style="medium">
        <color rgb="FF000000"/>
      </left>
      <right/>
      <top style="dashDot">
        <color rgb="FF000000"/>
      </top>
      <bottom style="medium">
        <color rgb="FF000000"/>
      </bottom>
      <diagonal/>
    </border>
    <border>
      <left/>
      <right style="medium">
        <color rgb="FF000000"/>
      </right>
      <top style="dashDot">
        <color rgb="FF000000"/>
      </top>
      <bottom style="medium">
        <color rgb="FF000000"/>
      </bottom>
      <diagonal/>
    </border>
    <border>
      <left style="thin">
        <color theme="0" tint="-0.24994659260841701"/>
      </left>
      <right style="thin">
        <color rgb="FF000000"/>
      </right>
      <top/>
      <bottom style="thin">
        <color theme="0" tint="-0.24994659260841701"/>
      </bottom>
      <diagonal/>
    </border>
    <border>
      <left/>
      <right/>
      <top style="dashDot">
        <color rgb="FF000000"/>
      </top>
      <bottom style="medium">
        <color rgb="FF000000"/>
      </bottom>
      <diagonal/>
    </border>
    <border>
      <left/>
      <right style="thin">
        <color rgb="FF000000"/>
      </right>
      <top/>
      <bottom style="medium">
        <color rgb="FF000000"/>
      </bottom>
      <diagonal/>
    </border>
    <border>
      <left style="thick">
        <color rgb="FF000000"/>
      </left>
      <right/>
      <top style="medium">
        <color rgb="FF000000"/>
      </top>
      <bottom/>
      <diagonal/>
    </border>
    <border>
      <left style="thick">
        <color rgb="FF000000"/>
      </left>
      <right/>
      <top/>
      <bottom/>
      <diagonal/>
    </border>
    <border>
      <left style="medium">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style="medium">
        <color auto="1"/>
      </right>
      <top style="thin">
        <color theme="0" tint="-0.24994659260841701"/>
      </top>
      <bottom/>
      <diagonal/>
    </border>
    <border>
      <left style="thin">
        <color theme="0" tint="-0.24994659260841701"/>
      </left>
      <right style="thick">
        <color rgb="FF000000"/>
      </right>
      <top/>
      <bottom style="thin">
        <color theme="0" tint="-0.24994659260841701"/>
      </bottom>
      <diagonal/>
    </border>
    <border>
      <left style="medium">
        <color theme="1"/>
      </left>
      <right/>
      <top/>
      <bottom style="dashDot">
        <color auto="1"/>
      </bottom>
      <diagonal/>
    </border>
    <border>
      <left/>
      <right style="medium">
        <color auto="1"/>
      </right>
      <top/>
      <bottom style="dashDot">
        <color auto="1"/>
      </bottom>
      <diagonal/>
    </border>
    <border>
      <left style="medium">
        <color rgb="FF000000"/>
      </left>
      <right/>
      <top style="dashDot">
        <color rgb="FF000000"/>
      </top>
      <bottom style="thin">
        <color theme="8" tint="0.39994506668294322"/>
      </bottom>
      <diagonal/>
    </border>
    <border>
      <left/>
      <right/>
      <top style="dashDot">
        <color rgb="FF000000"/>
      </top>
      <bottom style="thin">
        <color theme="8" tint="0.39994506668294322"/>
      </bottom>
      <diagonal/>
    </border>
    <border>
      <left/>
      <right/>
      <top style="dashDot">
        <color auto="1"/>
      </top>
      <bottom style="thin">
        <color theme="8" tint="0.39994506668294322"/>
      </bottom>
      <diagonal/>
    </border>
    <border>
      <left/>
      <right style="medium">
        <color rgb="FF000000"/>
      </right>
      <top style="dashDot">
        <color auto="1"/>
      </top>
      <bottom style="thin">
        <color theme="8" tint="0.39994506668294322"/>
      </bottom>
      <diagonal/>
    </border>
    <border>
      <left style="medium">
        <color rgb="FF000000"/>
      </left>
      <right/>
      <top style="dashDot">
        <color auto="1"/>
      </top>
      <bottom style="thin">
        <color theme="8" tint="0.39994506668294322"/>
      </bottom>
      <diagonal/>
    </border>
    <border>
      <left/>
      <right style="medium">
        <color rgb="FF000000"/>
      </right>
      <top style="dashDot">
        <color rgb="FF000000"/>
      </top>
      <bottom style="thin">
        <color theme="8" tint="0.39994506668294322"/>
      </bottom>
      <diagonal/>
    </border>
    <border>
      <left/>
      <right style="medium">
        <color rgb="FF000000"/>
      </right>
      <top style="thin">
        <color theme="0" tint="-0.24994659260841701"/>
      </top>
      <bottom/>
      <diagonal/>
    </border>
    <border>
      <left style="medium">
        <color theme="1"/>
      </left>
      <right/>
      <top/>
      <bottom style="medium">
        <color rgb="FF000000"/>
      </bottom>
      <diagonal/>
    </border>
    <border>
      <left style="medium">
        <color auto="1"/>
      </left>
      <right/>
      <top/>
      <bottom style="dashDot">
        <color rgb="FF000000"/>
      </bottom>
      <diagonal/>
    </border>
    <border>
      <left/>
      <right style="medium">
        <color auto="1"/>
      </right>
      <top/>
      <bottom style="dashDot">
        <color rgb="FF000000"/>
      </bottom>
      <diagonal/>
    </border>
    <border>
      <left style="medium">
        <color rgb="FF000000"/>
      </left>
      <right/>
      <top style="thin">
        <color theme="8" tint="0.39994506668294322"/>
      </top>
      <bottom/>
      <diagonal/>
    </border>
    <border>
      <left/>
      <right/>
      <top style="thin">
        <color theme="8" tint="0.39994506668294322"/>
      </top>
      <bottom/>
      <diagonal/>
    </border>
    <border>
      <left/>
      <right style="medium">
        <color rgb="FF000000"/>
      </right>
      <top style="thin">
        <color theme="8" tint="0.39994506668294322"/>
      </top>
      <bottom/>
      <diagonal/>
    </border>
    <border>
      <left style="medium">
        <color indexed="8"/>
      </left>
      <right/>
      <top/>
      <bottom/>
      <diagonal/>
    </border>
    <border>
      <left/>
      <right style="medium">
        <color theme="1"/>
      </right>
      <top style="thin">
        <color theme="0" tint="-0.24994659260841701"/>
      </top>
      <bottom/>
      <diagonal/>
    </border>
    <border>
      <left style="medium">
        <color indexed="8"/>
      </left>
      <right/>
      <top/>
      <bottom style="medium">
        <color indexed="8"/>
      </bottom>
      <diagonal/>
    </border>
    <border>
      <left/>
      <right/>
      <top/>
      <bottom style="thin">
        <color theme="8" tint="0.39994506668294322"/>
      </bottom>
      <diagonal/>
    </border>
    <border>
      <left/>
      <right/>
      <top style="thin">
        <color theme="8" tint="0.39994506668294322"/>
      </top>
      <bottom style="thin">
        <color theme="8" tint="0.39994506668294322"/>
      </bottom>
      <diagonal/>
    </border>
    <border>
      <left/>
      <right style="medium">
        <color auto="1"/>
      </right>
      <top style="thin">
        <color theme="0" tint="-0.24994659260841701"/>
      </top>
      <bottom style="thin">
        <color theme="8" tint="0.39994506668294322"/>
      </bottom>
      <diagonal/>
    </border>
    <border>
      <left style="medium">
        <color rgb="FF000000"/>
      </left>
      <right/>
      <top/>
      <bottom style="medium">
        <color auto="1"/>
      </bottom>
      <diagonal/>
    </border>
    <border>
      <left/>
      <right/>
      <top/>
      <bottom style="medium">
        <color indexed="64"/>
      </bottom>
      <diagonal/>
    </border>
    <border>
      <left/>
      <right/>
      <top style="thin">
        <color theme="8" tint="0.39994506668294322"/>
      </top>
      <bottom style="medium">
        <color auto="1"/>
      </bottom>
      <diagonal/>
    </border>
    <border>
      <left/>
      <right style="medium">
        <color rgb="FF000000"/>
      </right>
      <top/>
      <bottom style="thin">
        <color theme="8" tint="0.39994506668294322"/>
      </bottom>
      <diagonal/>
    </border>
    <border>
      <left style="medium">
        <color rgb="FF000000"/>
      </left>
      <right/>
      <top style="thin">
        <color theme="8" tint="0.39994506668294322"/>
      </top>
      <bottom style="thin">
        <color theme="8" tint="0.39994506668294322"/>
      </bottom>
      <diagonal/>
    </border>
    <border>
      <left/>
      <right style="medium">
        <color rgb="FF000000"/>
      </right>
      <top style="thin">
        <color theme="8" tint="0.39994506668294322"/>
      </top>
      <bottom style="thin">
        <color theme="8" tint="0.39994506668294322"/>
      </bottom>
      <diagonal/>
    </border>
    <border>
      <left style="thick">
        <color rgb="FF000000"/>
      </left>
      <right/>
      <top/>
      <bottom style="dashDot">
        <color rgb="FF000000"/>
      </bottom>
      <diagonal/>
    </border>
    <border>
      <left style="thick">
        <color rgb="FF000000"/>
      </left>
      <right/>
      <top style="dashDot">
        <color rgb="FF000000"/>
      </top>
      <bottom style="thin">
        <color theme="8" tint="0.39994506668294322"/>
      </bottom>
      <diagonal/>
    </border>
    <border>
      <left style="thick">
        <color rgb="FF000000"/>
      </left>
      <right/>
      <top style="thin">
        <color theme="8" tint="0.39994506668294322"/>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8"/>
      </left>
      <right style="medium">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thin">
        <color indexed="8"/>
      </left>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64"/>
      </bottom>
      <diagonal/>
    </border>
    <border>
      <left style="medium">
        <color indexed="64"/>
      </left>
      <right style="medium">
        <color indexed="64"/>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style="thin">
        <color indexed="8"/>
      </right>
      <top style="thin">
        <color indexed="8"/>
      </top>
      <bottom style="medium">
        <color indexed="64"/>
      </bottom>
      <diagonal/>
    </border>
    <border>
      <left style="medium">
        <color indexed="64"/>
      </left>
      <right style="medium">
        <color indexed="64"/>
      </right>
      <top style="thin">
        <color indexed="8"/>
      </top>
      <bottom style="medium">
        <color indexed="64"/>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medium">
        <color auto="1"/>
      </top>
      <bottom/>
      <diagonal/>
    </border>
    <border>
      <left/>
      <right/>
      <top/>
      <bottom style="thin">
        <color auto="1"/>
      </bottom>
      <diagonal/>
    </border>
    <border>
      <left style="thin">
        <color indexed="64"/>
      </left>
      <right/>
      <top/>
      <bottom style="thin">
        <color indexed="64"/>
      </bottom>
      <diagonal/>
    </border>
    <border>
      <left/>
      <right style="thin">
        <color auto="1"/>
      </right>
      <top/>
      <bottom style="thin">
        <color auto="1"/>
      </bottom>
      <diagonal/>
    </border>
    <border>
      <left/>
      <right style="thin">
        <color indexed="64"/>
      </right>
      <top style="thin">
        <color indexed="64"/>
      </top>
      <bottom/>
      <diagonal/>
    </border>
    <border>
      <left/>
      <right style="thin">
        <color indexed="64"/>
      </right>
      <top/>
      <bottom/>
      <diagonal/>
    </border>
    <border>
      <left style="thin">
        <color auto="1"/>
      </left>
      <right/>
      <top style="medium">
        <color auto="1"/>
      </top>
      <bottom/>
      <diagonal/>
    </border>
    <border>
      <left style="thin">
        <color indexed="64"/>
      </left>
      <right/>
      <top/>
      <bottom style="medium">
        <color indexed="64"/>
      </bottom>
      <diagonal/>
    </border>
  </borders>
  <cellStyleXfs count="18">
    <xf numFmtId="0" fontId="0" fillId="0" borderId="0"/>
    <xf numFmtId="0" fontId="5" fillId="0" borderId="0"/>
    <xf numFmtId="0" fontId="6" fillId="0" borderId="0" applyNumberFormat="0" applyFill="0" applyBorder="0" applyAlignment="0" applyProtection="0"/>
    <xf numFmtId="0" fontId="8" fillId="0" borderId="0"/>
    <xf numFmtId="0" fontId="15" fillId="0" borderId="0" applyNumberFormat="0" applyFill="0" applyBorder="0" applyAlignment="0" applyProtection="0"/>
    <xf numFmtId="0" fontId="19" fillId="0" borderId="0"/>
    <xf numFmtId="0" fontId="5" fillId="0" borderId="0"/>
    <xf numFmtId="0" fontId="5" fillId="0" borderId="0"/>
    <xf numFmtId="0" fontId="19" fillId="0" borderId="0"/>
    <xf numFmtId="0" fontId="32" fillId="0" borderId="0"/>
    <xf numFmtId="0" fontId="37" fillId="0" borderId="0"/>
    <xf numFmtId="0" fontId="39" fillId="0" borderId="0"/>
    <xf numFmtId="0" fontId="19" fillId="0" borderId="0"/>
    <xf numFmtId="0" fontId="8" fillId="0" borderId="0"/>
    <xf numFmtId="0" fontId="15" fillId="0" borderId="0" applyNumberFormat="0" applyFill="0" applyBorder="0" applyAlignment="0" applyProtection="0"/>
    <xf numFmtId="0" fontId="58" fillId="0" borderId="0"/>
    <xf numFmtId="0" fontId="5" fillId="0" borderId="0"/>
    <xf numFmtId="0" fontId="5" fillId="0" borderId="0"/>
  </cellStyleXfs>
  <cellXfs count="1116">
    <xf numFmtId="0" fontId="0" fillId="0" borderId="0" xfId="0"/>
    <xf numFmtId="0" fontId="1" fillId="0" borderId="0" xfId="1" applyNumberFormat="1" applyFont="1" applyAlignment="1"/>
    <xf numFmtId="0" fontId="4" fillId="0" borderId="0" xfId="1" applyNumberFormat="1" applyFont="1" applyFill="1" applyAlignment="1">
      <alignment horizontal="right"/>
    </xf>
    <xf numFmtId="0" fontId="7" fillId="0" borderId="0" xfId="2" applyFont="1" applyFill="1" applyAlignment="1">
      <alignment vertical="top"/>
    </xf>
    <xf numFmtId="0" fontId="1" fillId="0" borderId="0" xfId="1" applyNumberFormat="1" applyFont="1" applyFill="1" applyAlignment="1"/>
    <xf numFmtId="164" fontId="0" fillId="0" borderId="0" xfId="3" applyNumberFormat="1" applyFont="1" applyFill="1" applyAlignment="1">
      <alignment horizontal="right"/>
    </xf>
    <xf numFmtId="0" fontId="0" fillId="0" borderId="0" xfId="1" applyFont="1" applyFill="1" applyAlignment="1"/>
    <xf numFmtId="0" fontId="1" fillId="0" borderId="0" xfId="1" applyFont="1" applyFill="1" applyAlignment="1">
      <alignment vertical="top"/>
    </xf>
    <xf numFmtId="0" fontId="1" fillId="0" borderId="0" xfId="1" applyFont="1" applyFill="1" applyAlignment="1"/>
    <xf numFmtId="0" fontId="1" fillId="0" borderId="0" xfId="1" applyFont="1" applyFill="1" applyAlignment="1">
      <alignment horizontal="right" vertical="top"/>
    </xf>
    <xf numFmtId="0" fontId="4" fillId="2" borderId="1" xfId="1" applyNumberFormat="1" applyFont="1" applyFill="1" applyBorder="1" applyAlignment="1"/>
    <xf numFmtId="0" fontId="4" fillId="2" borderId="0" xfId="1" quotePrefix="1" applyNumberFormat="1" applyFont="1" applyFill="1" applyAlignment="1"/>
    <xf numFmtId="0" fontId="1" fillId="2" borderId="0" xfId="1" applyNumberFormat="1" applyFont="1" applyFill="1" applyAlignment="1"/>
    <xf numFmtId="0" fontId="1" fillId="0" borderId="0" xfId="1" applyNumberFormat="1" applyFont="1" applyAlignment="1">
      <alignment horizontal="center"/>
    </xf>
    <xf numFmtId="166" fontId="6" fillId="6" borderId="1" xfId="2" applyNumberFormat="1" applyFill="1" applyBorder="1" applyAlignment="1">
      <alignment horizontal="right"/>
    </xf>
    <xf numFmtId="166" fontId="9" fillId="6" borderId="1" xfId="1" applyNumberFormat="1" applyFont="1" applyFill="1" applyBorder="1" applyAlignment="1">
      <alignment horizontal="center"/>
    </xf>
    <xf numFmtId="0" fontId="4" fillId="2" borderId="3" xfId="1" quotePrefix="1" applyNumberFormat="1" applyFont="1" applyFill="1" applyBorder="1" applyAlignment="1"/>
    <xf numFmtId="0" fontId="1" fillId="2" borderId="3" xfId="1" applyNumberFormat="1" applyFont="1" applyFill="1" applyBorder="1" applyAlignment="1"/>
    <xf numFmtId="0" fontId="1" fillId="0" borderId="3" xfId="1" applyNumberFormat="1" applyFont="1" applyBorder="1" applyAlignment="1"/>
    <xf numFmtId="0" fontId="12" fillId="0" borderId="3" xfId="1" applyNumberFormat="1" applyFont="1" applyBorder="1" applyAlignment="1"/>
    <xf numFmtId="0" fontId="1" fillId="0" borderId="3" xfId="1" applyNumberFormat="1" applyFont="1" applyBorder="1" applyAlignment="1">
      <alignment horizontal="center"/>
    </xf>
    <xf numFmtId="166" fontId="1" fillId="0" borderId="3" xfId="1" applyNumberFormat="1" applyFont="1" applyBorder="1" applyAlignment="1">
      <alignment horizontal="center"/>
    </xf>
    <xf numFmtId="0" fontId="6" fillId="8" borderId="1" xfId="2" applyNumberFormat="1" applyFill="1" applyBorder="1" applyAlignment="1"/>
    <xf numFmtId="0" fontId="13" fillId="9" borderId="1" xfId="2" applyFont="1" applyFill="1" applyBorder="1" applyAlignment="1"/>
    <xf numFmtId="0" fontId="11" fillId="0" borderId="1" xfId="2" applyFont="1" applyFill="1" applyBorder="1" applyAlignment="1"/>
    <xf numFmtId="0" fontId="7" fillId="0" borderId="1" xfId="2" applyFont="1" applyFill="1" applyBorder="1" applyAlignment="1"/>
    <xf numFmtId="0" fontId="4" fillId="2" borderId="0" xfId="1" quotePrefix="1" applyNumberFormat="1" applyFont="1" applyFill="1" applyBorder="1" applyAlignment="1"/>
    <xf numFmtId="0" fontId="1" fillId="2" borderId="0" xfId="1" applyNumberFormat="1" applyFont="1" applyFill="1" applyBorder="1" applyAlignment="1"/>
    <xf numFmtId="0" fontId="1" fillId="0" borderId="0" xfId="1" applyNumberFormat="1" applyFont="1" applyBorder="1" applyAlignment="1"/>
    <xf numFmtId="0" fontId="13" fillId="0" borderId="0" xfId="4" applyNumberFormat="1" applyFont="1" applyBorder="1" applyAlignment="1"/>
    <xf numFmtId="165" fontId="1" fillId="0" borderId="0" xfId="1" applyNumberFormat="1" applyFont="1" applyBorder="1" applyAlignment="1">
      <alignment horizontal="center"/>
    </xf>
    <xf numFmtId="166" fontId="1" fillId="0" borderId="0" xfId="1" applyNumberFormat="1" applyFont="1" applyBorder="1" applyAlignment="1">
      <alignment horizontal="center"/>
    </xf>
    <xf numFmtId="0" fontId="6" fillId="4" borderId="1" xfId="2" applyNumberFormat="1" applyFill="1" applyBorder="1" applyAlignment="1"/>
    <xf numFmtId="0" fontId="12" fillId="0" borderId="0" xfId="1" applyNumberFormat="1" applyFont="1" applyBorder="1" applyAlignment="1"/>
    <xf numFmtId="0" fontId="1" fillId="0" borderId="0" xfId="1" applyNumberFormat="1" applyFont="1" applyBorder="1" applyAlignment="1">
      <alignment horizontal="center"/>
    </xf>
    <xf numFmtId="49" fontId="1" fillId="0" borderId="1" xfId="1" applyNumberFormat="1" applyFont="1" applyFill="1" applyBorder="1" applyAlignment="1"/>
    <xf numFmtId="0" fontId="1" fillId="0" borderId="1" xfId="1" applyNumberFormat="1" applyFont="1" applyBorder="1" applyAlignment="1"/>
    <xf numFmtId="0" fontId="13" fillId="0" borderId="1" xfId="2" applyFont="1" applyFill="1" applyBorder="1" applyAlignment="1"/>
    <xf numFmtId="165" fontId="1" fillId="0" borderId="1" xfId="1" applyNumberFormat="1" applyFont="1" applyBorder="1" applyAlignment="1">
      <alignment horizontal="center"/>
    </xf>
    <xf numFmtId="166" fontId="1" fillId="0" borderId="1" xfId="1" applyNumberFormat="1" applyFont="1" applyBorder="1" applyAlignment="1">
      <alignment horizontal="center"/>
    </xf>
    <xf numFmtId="0" fontId="0" fillId="12" borderId="1" xfId="1" applyNumberFormat="1" applyFont="1" applyFill="1" applyBorder="1" applyAlignment="1">
      <alignment horizontal="center"/>
    </xf>
    <xf numFmtId="49" fontId="0" fillId="12" borderId="1" xfId="1" applyNumberFormat="1" applyFont="1" applyFill="1" applyBorder="1" applyAlignment="1"/>
    <xf numFmtId="0" fontId="0" fillId="12" borderId="1" xfId="1" applyNumberFormat="1" applyFont="1" applyFill="1" applyBorder="1" applyAlignment="1"/>
    <xf numFmtId="0" fontId="1" fillId="12" borderId="1" xfId="1" applyNumberFormat="1" applyFont="1" applyFill="1" applyBorder="1" applyAlignment="1"/>
    <xf numFmtId="0" fontId="6" fillId="12" borderId="1" xfId="2" applyNumberFormat="1" applyFill="1" applyBorder="1" applyAlignment="1"/>
    <xf numFmtId="0" fontId="7" fillId="4" borderId="1" xfId="2" applyFont="1" applyFill="1" applyBorder="1" applyAlignment="1"/>
    <xf numFmtId="0" fontId="1" fillId="12" borderId="1" xfId="0" applyNumberFormat="1" applyFont="1" applyFill="1" applyBorder="1" applyAlignment="1"/>
    <xf numFmtId="165" fontId="0" fillId="12" borderId="1" xfId="1" applyNumberFormat="1" applyFont="1" applyFill="1" applyBorder="1" applyAlignment="1">
      <alignment horizontal="center"/>
    </xf>
    <xf numFmtId="166" fontId="1" fillId="12" borderId="1" xfId="1" applyNumberFormat="1" applyFont="1" applyFill="1" applyBorder="1" applyAlignment="1">
      <alignment horizontal="center"/>
    </xf>
    <xf numFmtId="0" fontId="14" fillId="9" borderId="5" xfId="1" applyNumberFormat="1" applyFont="1" applyFill="1" applyBorder="1" applyAlignment="1">
      <alignment vertical="center"/>
    </xf>
    <xf numFmtId="49" fontId="1" fillId="9" borderId="5" xfId="1" applyNumberFormat="1" applyFont="1" applyFill="1" applyBorder="1" applyAlignment="1">
      <alignment vertical="center"/>
    </xf>
    <xf numFmtId="0" fontId="1" fillId="9" borderId="5" xfId="1" applyNumberFormat="1" applyFont="1" applyFill="1" applyBorder="1" applyAlignment="1"/>
    <xf numFmtId="0" fontId="1" fillId="9" borderId="5" xfId="0" applyNumberFormat="1" applyFont="1" applyFill="1" applyBorder="1" applyAlignment="1"/>
    <xf numFmtId="0" fontId="18" fillId="9" borderId="5" xfId="2" applyNumberFormat="1" applyFont="1" applyFill="1" applyBorder="1" applyAlignment="1"/>
    <xf numFmtId="0" fontId="7" fillId="9" borderId="6" xfId="2" applyFont="1" applyFill="1" applyBorder="1" applyAlignment="1"/>
    <xf numFmtId="0" fontId="1" fillId="9" borderId="5" xfId="1" applyNumberFormat="1" applyFont="1" applyFill="1" applyBorder="1" applyAlignment="1">
      <alignment vertical="center"/>
    </xf>
    <xf numFmtId="165" fontId="1" fillId="9" borderId="5" xfId="1" applyNumberFormat="1" applyFont="1" applyFill="1" applyBorder="1" applyAlignment="1">
      <alignment horizontal="center"/>
    </xf>
    <xf numFmtId="166" fontId="1" fillId="9" borderId="5" xfId="1" applyNumberFormat="1" applyFont="1" applyFill="1" applyBorder="1" applyAlignment="1">
      <alignment horizontal="center"/>
    </xf>
    <xf numFmtId="0" fontId="1" fillId="0" borderId="7" xfId="1" applyNumberFormat="1" applyFont="1" applyBorder="1" applyAlignment="1"/>
    <xf numFmtId="0" fontId="4" fillId="0" borderId="0" xfId="1" applyNumberFormat="1" applyFont="1" applyAlignment="1"/>
    <xf numFmtId="0" fontId="4" fillId="0" borderId="0" xfId="5" applyFont="1" applyFill="1" applyBorder="1" applyAlignment="1"/>
    <xf numFmtId="0" fontId="0" fillId="4" borderId="0" xfId="1" applyFont="1" applyFill="1" applyAlignment="1"/>
    <xf numFmtId="0" fontId="1" fillId="4" borderId="0" xfId="1" applyNumberFormat="1" applyFont="1" applyFill="1" applyAlignment="1"/>
    <xf numFmtId="0" fontId="0" fillId="8" borderId="0" xfId="0" applyFont="1" applyFill="1"/>
    <xf numFmtId="0" fontId="1" fillId="8" borderId="0" xfId="1" applyFont="1" applyFill="1" applyAlignment="1"/>
    <xf numFmtId="0" fontId="1" fillId="0" borderId="0" xfId="1" applyNumberFormat="1" applyFont="1" applyFill="1" applyAlignment="1">
      <alignment horizontal="left"/>
    </xf>
    <xf numFmtId="0" fontId="3" fillId="0" borderId="0" xfId="1" applyNumberFormat="1" applyFont="1" applyAlignment="1"/>
    <xf numFmtId="0" fontId="1" fillId="0" borderId="0" xfId="0" applyFont="1"/>
    <xf numFmtId="0" fontId="1" fillId="0" borderId="0" xfId="1" applyFont="1" applyAlignment="1">
      <alignment vertical="top"/>
    </xf>
    <xf numFmtId="0" fontId="4" fillId="0" borderId="0" xfId="1" applyFont="1" applyAlignment="1"/>
    <xf numFmtId="0" fontId="1" fillId="0" borderId="0" xfId="1" applyFont="1" applyAlignment="1"/>
    <xf numFmtId="0" fontId="6" fillId="0" borderId="0" xfId="2" applyFill="1" applyAlignment="1">
      <alignment vertical="top"/>
    </xf>
    <xf numFmtId="0" fontId="1" fillId="0" borderId="0" xfId="1" applyFont="1" applyAlignment="1">
      <alignment horizontal="right" vertical="top"/>
    </xf>
    <xf numFmtId="0" fontId="4" fillId="2" borderId="8" xfId="1" applyFont="1" applyFill="1" applyBorder="1" applyAlignment="1"/>
    <xf numFmtId="0" fontId="4" fillId="2" borderId="9" xfId="1" applyFont="1" applyFill="1" applyBorder="1" applyAlignment="1"/>
    <xf numFmtId="0" fontId="4" fillId="2" borderId="10" xfId="1" applyFont="1" applyFill="1" applyBorder="1" applyAlignment="1"/>
    <xf numFmtId="0" fontId="4" fillId="11" borderId="0" xfId="1" quotePrefix="1" applyNumberFormat="1" applyFont="1" applyFill="1" applyAlignment="1"/>
    <xf numFmtId="0" fontId="4" fillId="11" borderId="0" xfId="1" applyFont="1" applyFill="1" applyBorder="1" applyAlignment="1"/>
    <xf numFmtId="0" fontId="1" fillId="11" borderId="0" xfId="1" applyFont="1" applyFill="1" applyBorder="1" applyAlignment="1"/>
    <xf numFmtId="0" fontId="4" fillId="0" borderId="0" xfId="1" applyFont="1" applyFill="1" applyBorder="1" applyAlignment="1"/>
    <xf numFmtId="0" fontId="4" fillId="13" borderId="12" xfId="1" applyFont="1" applyFill="1" applyBorder="1" applyAlignment="1"/>
    <xf numFmtId="0" fontId="1" fillId="0" borderId="11" xfId="2" applyFont="1" applyFill="1" applyBorder="1" applyAlignment="1"/>
    <xf numFmtId="0" fontId="4" fillId="13" borderId="13" xfId="1" applyFont="1" applyFill="1" applyBorder="1" applyAlignment="1"/>
    <xf numFmtId="0" fontId="6" fillId="0" borderId="15" xfId="2" applyFill="1" applyBorder="1" applyAlignment="1"/>
    <xf numFmtId="0" fontId="1" fillId="0" borderId="14" xfId="0" applyFont="1" applyFill="1" applyBorder="1" applyAlignment="1"/>
    <xf numFmtId="0" fontId="1" fillId="0" borderId="15" xfId="1" applyFont="1" applyFill="1" applyBorder="1" applyAlignment="1"/>
    <xf numFmtId="0" fontId="1" fillId="0" borderId="0" xfId="1" applyFont="1" applyFill="1" applyBorder="1" applyAlignment="1"/>
    <xf numFmtId="0" fontId="1" fillId="0" borderId="16" xfId="1" applyFont="1" applyFill="1" applyBorder="1" applyAlignment="1"/>
    <xf numFmtId="0" fontId="4" fillId="0" borderId="16" xfId="1" applyFont="1" applyFill="1" applyBorder="1" applyAlignment="1"/>
    <xf numFmtId="0" fontId="6" fillId="0" borderId="18" xfId="2" applyFill="1" applyBorder="1" applyAlignment="1"/>
    <xf numFmtId="0" fontId="1" fillId="0" borderId="17" xfId="1" applyFont="1" applyFill="1" applyBorder="1" applyAlignment="1"/>
    <xf numFmtId="0" fontId="1" fillId="0" borderId="18" xfId="1" applyFont="1" applyFill="1" applyBorder="1" applyAlignment="1"/>
    <xf numFmtId="0" fontId="4" fillId="0" borderId="0" xfId="1" applyFont="1" applyAlignment="1">
      <alignment vertical="top"/>
    </xf>
    <xf numFmtId="0" fontId="1" fillId="0" borderId="19" xfId="2" applyFont="1" applyFill="1" applyBorder="1" applyAlignment="1"/>
    <xf numFmtId="0" fontId="4" fillId="13" borderId="20" xfId="1" applyFont="1" applyFill="1" applyBorder="1" applyAlignment="1"/>
    <xf numFmtId="0" fontId="4" fillId="13" borderId="21" xfId="1" applyFont="1" applyFill="1" applyBorder="1" applyAlignment="1"/>
    <xf numFmtId="0" fontId="2" fillId="14" borderId="23" xfId="1" applyFont="1" applyFill="1" applyBorder="1" applyAlignment="1"/>
    <xf numFmtId="0" fontId="4" fillId="0" borderId="11" xfId="2" applyFont="1" applyFill="1" applyBorder="1" applyAlignment="1"/>
    <xf numFmtId="0" fontId="4" fillId="13" borderId="24" xfId="1" applyFont="1" applyFill="1" applyBorder="1" applyAlignment="1"/>
    <xf numFmtId="0" fontId="1" fillId="0" borderId="25" xfId="2" applyFont="1" applyFill="1" applyBorder="1" applyAlignment="1"/>
    <xf numFmtId="0" fontId="4" fillId="13" borderId="26" xfId="1" applyFont="1" applyFill="1" applyBorder="1" applyAlignment="1"/>
    <xf numFmtId="0" fontId="1" fillId="0" borderId="14" xfId="2" applyFont="1" applyFill="1" applyBorder="1" applyAlignment="1"/>
    <xf numFmtId="0" fontId="4" fillId="13" borderId="28" xfId="1" applyFont="1" applyFill="1" applyBorder="1" applyAlignment="1"/>
    <xf numFmtId="0" fontId="4" fillId="0" borderId="23" xfId="1" applyFont="1" applyFill="1" applyBorder="1" applyAlignment="1"/>
    <xf numFmtId="0" fontId="22" fillId="0" borderId="14" xfId="1" applyFont="1" applyFill="1" applyBorder="1" applyAlignment="1"/>
    <xf numFmtId="0" fontId="4" fillId="0" borderId="29" xfId="1" applyFont="1" applyFill="1" applyBorder="1" applyAlignment="1"/>
    <xf numFmtId="0" fontId="2" fillId="3" borderId="23" xfId="1" applyFont="1" applyFill="1" applyBorder="1" applyAlignment="1"/>
    <xf numFmtId="0" fontId="4" fillId="0" borderId="14" xfId="0" applyFont="1" applyFill="1" applyBorder="1" applyAlignment="1"/>
    <xf numFmtId="0" fontId="4" fillId="0" borderId="31" xfId="1" applyFont="1" applyFill="1" applyBorder="1" applyAlignment="1"/>
    <xf numFmtId="0" fontId="4" fillId="15" borderId="15" xfId="1" applyFont="1" applyFill="1" applyBorder="1" applyAlignment="1"/>
    <xf numFmtId="0" fontId="4" fillId="0" borderId="0" xfId="1" applyFont="1" applyFill="1" applyAlignment="1">
      <alignment vertical="top"/>
    </xf>
    <xf numFmtId="0" fontId="22" fillId="0" borderId="25" xfId="1" applyFont="1" applyFill="1" applyBorder="1" applyAlignment="1"/>
    <xf numFmtId="0" fontId="17" fillId="0" borderId="25" xfId="2" applyFont="1" applyFill="1" applyBorder="1" applyAlignment="1"/>
    <xf numFmtId="0" fontId="1" fillId="0" borderId="32" xfId="1" applyFont="1" applyFill="1" applyBorder="1" applyAlignment="1"/>
    <xf numFmtId="0" fontId="1" fillId="0" borderId="33" xfId="1" applyFont="1" applyFill="1" applyBorder="1" applyAlignment="1"/>
    <xf numFmtId="0" fontId="0" fillId="0" borderId="32" xfId="0" applyBorder="1"/>
    <xf numFmtId="0" fontId="1" fillId="0" borderId="34" xfId="1" applyFont="1" applyFill="1" applyBorder="1" applyAlignment="1"/>
    <xf numFmtId="0" fontId="1" fillId="3" borderId="33" xfId="1" applyFont="1" applyFill="1" applyBorder="1" applyAlignment="1"/>
    <xf numFmtId="0" fontId="23" fillId="0" borderId="36" xfId="1" applyFont="1" applyFill="1" applyBorder="1" applyAlignment="1"/>
    <xf numFmtId="0" fontId="0" fillId="0" borderId="37" xfId="0" applyBorder="1"/>
    <xf numFmtId="0" fontId="1" fillId="0" borderId="37" xfId="1" applyFont="1" applyFill="1" applyBorder="1" applyAlignment="1"/>
    <xf numFmtId="0" fontId="23" fillId="0" borderId="37" xfId="1" applyFont="1" applyFill="1" applyBorder="1" applyAlignment="1"/>
    <xf numFmtId="0" fontId="24" fillId="0" borderId="38" xfId="1" applyFont="1" applyFill="1" applyBorder="1" applyAlignment="1">
      <alignment horizontal="right"/>
    </xf>
    <xf numFmtId="0" fontId="0" fillId="0" borderId="0" xfId="1" applyFont="1" applyFill="1" applyBorder="1" applyAlignment="1">
      <alignment vertical="top"/>
    </xf>
    <xf numFmtId="0" fontId="1" fillId="0" borderId="14" xfId="1" applyFont="1" applyFill="1" applyBorder="1" applyAlignment="1"/>
    <xf numFmtId="0" fontId="4" fillId="13" borderId="39" xfId="1" applyFont="1" applyFill="1" applyBorder="1" applyAlignment="1"/>
    <xf numFmtId="0" fontId="4" fillId="4" borderId="31" xfId="1" applyFont="1" applyFill="1" applyBorder="1" applyAlignment="1"/>
    <xf numFmtId="0" fontId="1" fillId="0" borderId="40" xfId="1" applyFont="1" applyFill="1" applyBorder="1" applyAlignment="1"/>
    <xf numFmtId="0" fontId="4" fillId="0" borderId="41" xfId="1" applyFont="1" applyFill="1" applyBorder="1" applyAlignment="1"/>
    <xf numFmtId="0" fontId="4" fillId="4" borderId="43" xfId="1" applyFont="1" applyFill="1" applyBorder="1" applyAlignment="1"/>
    <xf numFmtId="0" fontId="25" fillId="0" borderId="40" xfId="1" applyFont="1" applyFill="1" applyBorder="1" applyAlignment="1"/>
    <xf numFmtId="0" fontId="6" fillId="0" borderId="41" xfId="2" applyFill="1" applyBorder="1" applyAlignment="1"/>
    <xf numFmtId="0" fontId="1" fillId="0" borderId="44" xfId="1" applyFont="1" applyFill="1" applyBorder="1" applyAlignment="1"/>
    <xf numFmtId="0" fontId="23" fillId="0" borderId="25" xfId="2" applyFont="1" applyFill="1" applyBorder="1" applyAlignment="1"/>
    <xf numFmtId="0" fontId="4" fillId="15" borderId="0" xfId="1" applyFont="1" applyFill="1" applyBorder="1" applyAlignment="1"/>
    <xf numFmtId="0" fontId="4" fillId="0" borderId="45" xfId="1" applyFont="1" applyFill="1" applyBorder="1" applyAlignment="1"/>
    <xf numFmtId="0" fontId="4" fillId="15" borderId="47" xfId="1" applyFont="1" applyFill="1" applyBorder="1" applyAlignment="1"/>
    <xf numFmtId="0" fontId="1" fillId="15" borderId="14" xfId="1" applyFont="1" applyFill="1" applyBorder="1" applyAlignment="1"/>
    <xf numFmtId="0" fontId="1" fillId="15" borderId="0" xfId="1" applyFont="1" applyFill="1" applyBorder="1" applyAlignment="1"/>
    <xf numFmtId="0" fontId="24" fillId="0" borderId="48" xfId="2" applyFont="1" applyFill="1" applyBorder="1" applyAlignment="1"/>
    <xf numFmtId="0" fontId="1" fillId="0" borderId="49" xfId="1" applyFont="1" applyFill="1" applyBorder="1" applyAlignment="1"/>
    <xf numFmtId="0" fontId="1" fillId="0" borderId="50" xfId="1" applyFont="1" applyFill="1" applyBorder="1" applyAlignment="1"/>
    <xf numFmtId="0" fontId="23" fillId="0" borderId="14" xfId="2" applyFont="1" applyFill="1" applyBorder="1" applyAlignment="1"/>
    <xf numFmtId="0" fontId="1" fillId="0" borderId="41" xfId="1" applyFont="1" applyFill="1" applyBorder="1" applyAlignment="1"/>
    <xf numFmtId="0" fontId="1" fillId="15" borderId="40" xfId="1" applyFont="1" applyFill="1" applyBorder="1" applyAlignment="1"/>
    <xf numFmtId="0" fontId="1" fillId="15" borderId="41" xfId="1" applyFont="1" applyFill="1" applyBorder="1" applyAlignment="1"/>
    <xf numFmtId="0" fontId="24" fillId="0" borderId="40" xfId="2" applyFont="1" applyFill="1" applyBorder="1" applyAlignment="1"/>
    <xf numFmtId="0" fontId="1" fillId="0" borderId="11" xfId="1" applyFont="1" applyFill="1" applyBorder="1" applyAlignment="1"/>
    <xf numFmtId="0" fontId="7" fillId="0" borderId="11" xfId="2" applyFont="1" applyFill="1" applyBorder="1" applyAlignment="1"/>
    <xf numFmtId="0" fontId="4" fillId="13" borderId="51" xfId="1" applyFont="1" applyFill="1" applyBorder="1" applyAlignment="1"/>
    <xf numFmtId="0" fontId="4" fillId="4" borderId="0" xfId="1" applyFont="1" applyFill="1" applyBorder="1" applyAlignment="1"/>
    <xf numFmtId="0" fontId="6" fillId="0" borderId="31" xfId="2" applyFill="1" applyBorder="1" applyAlignment="1"/>
    <xf numFmtId="0" fontId="1" fillId="0" borderId="47" xfId="1" applyFont="1" applyFill="1" applyBorder="1" applyAlignment="1"/>
    <xf numFmtId="0" fontId="7" fillId="4" borderId="14" xfId="4" applyFont="1" applyFill="1" applyBorder="1" applyAlignment="1"/>
    <xf numFmtId="0" fontId="1" fillId="4" borderId="0" xfId="1" applyFont="1" applyFill="1" applyBorder="1" applyAlignment="1"/>
    <xf numFmtId="0" fontId="7" fillId="0" borderId="0" xfId="2" applyFont="1" applyFill="1" applyBorder="1" applyAlignment="1">
      <alignment horizontal="right"/>
    </xf>
    <xf numFmtId="0" fontId="1" fillId="0" borderId="31" xfId="1" applyFont="1" applyFill="1" applyBorder="1" applyAlignment="1"/>
    <xf numFmtId="0" fontId="1" fillId="0" borderId="50" xfId="1" applyFont="1" applyBorder="1" applyAlignment="1">
      <alignment vertical="top"/>
    </xf>
    <xf numFmtId="0" fontId="1" fillId="0" borderId="15" xfId="1" applyFont="1" applyBorder="1" applyAlignment="1">
      <alignment vertical="top"/>
    </xf>
    <xf numFmtId="0" fontId="7" fillId="4" borderId="40" xfId="4" applyFont="1" applyFill="1" applyBorder="1" applyAlignment="1"/>
    <xf numFmtId="0" fontId="1" fillId="4" borderId="41" xfId="1" applyFont="1" applyFill="1" applyBorder="1" applyAlignment="1"/>
    <xf numFmtId="0" fontId="7" fillId="0" borderId="41" xfId="2" applyFont="1" applyFill="1" applyBorder="1" applyAlignment="1">
      <alignment horizontal="right"/>
    </xf>
    <xf numFmtId="0" fontId="1" fillId="0" borderId="53" xfId="1" applyFont="1" applyFill="1" applyBorder="1" applyAlignment="1"/>
    <xf numFmtId="0" fontId="1" fillId="0" borderId="44" xfId="1" applyFont="1" applyBorder="1" applyAlignment="1">
      <alignment vertical="top"/>
    </xf>
    <xf numFmtId="0" fontId="23" fillId="0" borderId="54" xfId="2" applyFont="1" applyFill="1" applyBorder="1" applyAlignment="1">
      <alignment vertical="center"/>
    </xf>
    <xf numFmtId="0" fontId="4" fillId="13" borderId="55" xfId="1" applyFont="1" applyFill="1" applyBorder="1" applyAlignment="1"/>
    <xf numFmtId="0" fontId="23" fillId="0" borderId="14" xfId="0" applyFont="1" applyFill="1" applyBorder="1" applyAlignment="1"/>
    <xf numFmtId="0" fontId="6" fillId="0" borderId="23" xfId="2" applyBorder="1" applyAlignment="1">
      <alignment vertical="top"/>
    </xf>
    <xf numFmtId="0" fontId="4" fillId="0" borderId="56" xfId="1" applyFont="1" applyFill="1" applyBorder="1" applyAlignment="1"/>
    <xf numFmtId="0" fontId="1" fillId="0" borderId="57" xfId="1" applyFont="1" applyBorder="1" applyAlignment="1">
      <alignment vertical="top"/>
    </xf>
    <xf numFmtId="0" fontId="1" fillId="0" borderId="58" xfId="1" applyFont="1" applyFill="1" applyBorder="1" applyAlignment="1"/>
    <xf numFmtId="0" fontId="4" fillId="13" borderId="60" xfId="1" applyFont="1" applyFill="1" applyBorder="1" applyAlignment="1"/>
    <xf numFmtId="0" fontId="1" fillId="0" borderId="61" xfId="1" applyFont="1" applyFill="1" applyBorder="1" applyAlignment="1"/>
    <xf numFmtId="0" fontId="23" fillId="0" borderId="0" xfId="1" applyFont="1" applyFill="1" applyBorder="1" applyAlignment="1"/>
    <xf numFmtId="0" fontId="6" fillId="0" borderId="0" xfId="2" applyFill="1" applyBorder="1" applyAlignment="1"/>
    <xf numFmtId="0" fontId="1" fillId="15" borderId="31" xfId="1" applyFont="1" applyFill="1" applyBorder="1" applyAlignment="1"/>
    <xf numFmtId="0" fontId="1" fillId="0" borderId="56" xfId="1" applyFont="1" applyFill="1" applyBorder="1" applyAlignment="1"/>
    <xf numFmtId="0" fontId="1" fillId="0" borderId="62" xfId="1" applyFont="1" applyFill="1" applyBorder="1" applyAlignment="1"/>
    <xf numFmtId="0" fontId="1" fillId="0" borderId="63" xfId="1" applyFont="1" applyFill="1" applyBorder="1" applyAlignment="1"/>
    <xf numFmtId="0" fontId="4" fillId="13" borderId="64" xfId="1" applyFont="1" applyFill="1" applyBorder="1" applyAlignment="1"/>
    <xf numFmtId="0" fontId="4" fillId="13" borderId="65" xfId="1" applyFont="1" applyFill="1" applyBorder="1" applyAlignment="1"/>
    <xf numFmtId="0" fontId="2" fillId="14" borderId="65" xfId="1" applyFont="1" applyFill="1" applyBorder="1" applyAlignment="1"/>
    <xf numFmtId="0" fontId="1" fillId="0" borderId="14" xfId="1" applyFont="1" applyFill="1" applyBorder="1" applyAlignment="1">
      <alignment vertical="top"/>
    </xf>
    <xf numFmtId="0" fontId="4" fillId="4" borderId="41" xfId="1" applyFont="1" applyFill="1" applyBorder="1" applyAlignment="1"/>
    <xf numFmtId="0" fontId="1" fillId="0" borderId="40" xfId="1" applyFont="1" applyFill="1" applyBorder="1" applyAlignment="1">
      <alignment vertical="top"/>
    </xf>
    <xf numFmtId="0" fontId="1" fillId="0" borderId="41" xfId="1" applyFont="1" applyFill="1" applyBorder="1" applyAlignment="1">
      <alignment horizontal="right" vertical="top"/>
    </xf>
    <xf numFmtId="0" fontId="4" fillId="0" borderId="43" xfId="1" applyFont="1" applyFill="1" applyBorder="1" applyAlignment="1"/>
    <xf numFmtId="0" fontId="4" fillId="0" borderId="57" xfId="1" applyFont="1" applyFill="1" applyBorder="1" applyAlignment="1"/>
    <xf numFmtId="0" fontId="7" fillId="0" borderId="14" xfId="2" applyFont="1" applyFill="1" applyBorder="1" applyAlignment="1"/>
    <xf numFmtId="0" fontId="1" fillId="0" borderId="23" xfId="1" applyFont="1" applyFill="1" applyBorder="1" applyAlignment="1"/>
    <xf numFmtId="0" fontId="4" fillId="15" borderId="23" xfId="1" applyFont="1" applyFill="1" applyBorder="1" applyAlignment="1"/>
    <xf numFmtId="0" fontId="1" fillId="0" borderId="25" xfId="1" applyFont="1" applyFill="1" applyBorder="1" applyAlignment="1"/>
    <xf numFmtId="0" fontId="1" fillId="0" borderId="69" xfId="1" applyFont="1" applyFill="1" applyBorder="1" applyAlignment="1"/>
    <xf numFmtId="0" fontId="1" fillId="15" borderId="23" xfId="1" applyFont="1" applyFill="1" applyBorder="1" applyAlignment="1"/>
    <xf numFmtId="0" fontId="23" fillId="0" borderId="66" xfId="2" applyFont="1" applyFill="1" applyBorder="1" applyAlignment="1"/>
    <xf numFmtId="0" fontId="1" fillId="0" borderId="70" xfId="1" applyFont="1" applyFill="1" applyBorder="1" applyAlignment="1"/>
    <xf numFmtId="0" fontId="23" fillId="0" borderId="25" xfId="1" applyFont="1" applyBorder="1" applyAlignment="1">
      <alignment vertical="top"/>
    </xf>
    <xf numFmtId="0" fontId="24" fillId="0" borderId="25" xfId="2" applyFont="1" applyFill="1" applyBorder="1" applyAlignment="1"/>
    <xf numFmtId="0" fontId="7" fillId="0" borderId="11" xfId="2" applyFont="1" applyFill="1" applyBorder="1" applyAlignment="1">
      <alignment vertical="top"/>
    </xf>
    <xf numFmtId="0" fontId="1" fillId="0" borderId="71" xfId="1" applyFont="1" applyFill="1" applyBorder="1" applyAlignment="1"/>
    <xf numFmtId="0" fontId="4" fillId="13" borderId="72" xfId="1" applyFont="1" applyFill="1" applyBorder="1" applyAlignment="1"/>
    <xf numFmtId="0" fontId="2" fillId="14" borderId="72" xfId="1" applyFont="1" applyFill="1" applyBorder="1" applyAlignment="1"/>
    <xf numFmtId="0" fontId="1" fillId="9" borderId="23" xfId="1" applyFont="1" applyFill="1" applyBorder="1" applyAlignment="1"/>
    <xf numFmtId="0" fontId="7" fillId="0" borderId="40" xfId="2" applyFont="1" applyFill="1" applyBorder="1" applyAlignment="1">
      <alignment vertical="top"/>
    </xf>
    <xf numFmtId="0" fontId="1" fillId="0" borderId="42" xfId="1" applyFont="1" applyFill="1" applyBorder="1" applyAlignment="1"/>
    <xf numFmtId="0" fontId="1" fillId="0" borderId="57" xfId="1" applyFont="1" applyFill="1" applyBorder="1" applyAlignment="1"/>
    <xf numFmtId="0" fontId="1" fillId="0" borderId="43" xfId="1" applyFont="1" applyFill="1" applyBorder="1" applyAlignment="1"/>
    <xf numFmtId="0" fontId="1" fillId="9" borderId="57" xfId="1" applyFont="1" applyFill="1" applyBorder="1" applyAlignment="1"/>
    <xf numFmtId="0" fontId="2" fillId="14" borderId="60" xfId="1" applyFont="1" applyFill="1" applyBorder="1" applyAlignment="1"/>
    <xf numFmtId="0" fontId="0" fillId="0" borderId="0" xfId="1" applyFont="1" applyAlignment="1">
      <alignment vertical="top"/>
    </xf>
    <xf numFmtId="0" fontId="1" fillId="9" borderId="31" xfId="1" applyFont="1" applyFill="1" applyBorder="1" applyAlignment="1"/>
    <xf numFmtId="0" fontId="1" fillId="9" borderId="75" xfId="1" applyFont="1" applyFill="1" applyBorder="1" applyAlignment="1"/>
    <xf numFmtId="0" fontId="4" fillId="15" borderId="31" xfId="1" applyFont="1" applyFill="1" applyBorder="1" applyAlignment="1"/>
    <xf numFmtId="0" fontId="1" fillId="10" borderId="0" xfId="1" applyFont="1" applyFill="1" applyAlignment="1">
      <alignment vertical="top"/>
    </xf>
    <xf numFmtId="0" fontId="24" fillId="0" borderId="0" xfId="2" applyFont="1" applyAlignment="1">
      <alignment vertical="top"/>
    </xf>
    <xf numFmtId="0" fontId="23" fillId="0" borderId="0" xfId="1" applyFont="1" applyAlignment="1">
      <alignment vertical="top"/>
    </xf>
    <xf numFmtId="0" fontId="4" fillId="0" borderId="40" xfId="1" applyFont="1" applyFill="1" applyBorder="1" applyAlignment="1">
      <alignment vertical="top"/>
    </xf>
    <xf numFmtId="0" fontId="26" fillId="16" borderId="43" xfId="2" applyFont="1" applyFill="1" applyBorder="1" applyAlignment="1">
      <alignment vertical="top"/>
    </xf>
    <xf numFmtId="0" fontId="6" fillId="16" borderId="43" xfId="2" applyFill="1" applyBorder="1" applyAlignment="1"/>
    <xf numFmtId="0" fontId="1" fillId="15" borderId="43" xfId="1" applyFont="1" applyFill="1" applyBorder="1" applyAlignment="1">
      <alignment vertical="top"/>
    </xf>
    <xf numFmtId="0" fontId="4" fillId="11" borderId="0" xfId="1" quotePrefix="1" applyNumberFormat="1" applyFont="1" applyFill="1" applyBorder="1" applyAlignment="1"/>
    <xf numFmtId="0" fontId="4" fillId="0" borderId="59" xfId="1" applyFont="1" applyBorder="1" applyAlignment="1">
      <alignment vertical="top"/>
    </xf>
    <xf numFmtId="0" fontId="4" fillId="13" borderId="76" xfId="1" applyFont="1" applyFill="1" applyBorder="1" applyAlignment="1"/>
    <xf numFmtId="0" fontId="4" fillId="13" borderId="77" xfId="1" applyFont="1" applyFill="1" applyBorder="1" applyAlignment="1"/>
    <xf numFmtId="0" fontId="4" fillId="0" borderId="78" xfId="1" applyFont="1" applyFill="1" applyBorder="1" applyAlignment="1"/>
    <xf numFmtId="0" fontId="4" fillId="15" borderId="43" xfId="1" applyFont="1" applyFill="1" applyBorder="1" applyAlignment="1"/>
    <xf numFmtId="0" fontId="24" fillId="0" borderId="79" xfId="2" applyFont="1" applyFill="1" applyBorder="1" applyAlignment="1"/>
    <xf numFmtId="0" fontId="4" fillId="0" borderId="80" xfId="1" applyFont="1" applyFill="1" applyBorder="1" applyAlignment="1"/>
    <xf numFmtId="0" fontId="1" fillId="0" borderId="59" xfId="1" applyFont="1" applyFill="1" applyBorder="1" applyAlignment="1"/>
    <xf numFmtId="0" fontId="4" fillId="13" borderId="81" xfId="1" applyFont="1" applyFill="1" applyBorder="1" applyAlignment="1"/>
    <xf numFmtId="0" fontId="1" fillId="0" borderId="46" xfId="1" applyFont="1" applyFill="1" applyBorder="1" applyAlignment="1"/>
    <xf numFmtId="0" fontId="4" fillId="0" borderId="75" xfId="1" applyFont="1" applyFill="1" applyBorder="1" applyAlignment="1"/>
    <xf numFmtId="0" fontId="4" fillId="4" borderId="75" xfId="1" applyFont="1" applyFill="1" applyBorder="1" applyAlignment="1"/>
    <xf numFmtId="0" fontId="23" fillId="0" borderId="79" xfId="1" applyFont="1" applyFill="1" applyBorder="1" applyAlignment="1"/>
    <xf numFmtId="0" fontId="1" fillId="0" borderId="80" xfId="1" applyFont="1" applyFill="1" applyBorder="1" applyAlignment="1"/>
    <xf numFmtId="0" fontId="1" fillId="0" borderId="79" xfId="1" applyFont="1" applyFill="1" applyBorder="1" applyAlignment="1"/>
    <xf numFmtId="0" fontId="1" fillId="0" borderId="82" xfId="1" applyFont="1" applyFill="1" applyBorder="1" applyAlignment="1"/>
    <xf numFmtId="0" fontId="1" fillId="0" borderId="83" xfId="1" applyFont="1" applyFill="1" applyBorder="1" applyAlignment="1">
      <alignment horizontal="right"/>
    </xf>
    <xf numFmtId="0" fontId="25" fillId="0" borderId="14" xfId="1" applyFont="1" applyFill="1" applyBorder="1" applyAlignment="1"/>
    <xf numFmtId="0" fontId="1" fillId="0" borderId="78" xfId="1" applyFont="1" applyFill="1" applyBorder="1" applyAlignment="1"/>
    <xf numFmtId="0" fontId="6" fillId="15" borderId="23" xfId="2" applyFill="1" applyBorder="1" applyAlignment="1"/>
    <xf numFmtId="0" fontId="1" fillId="0" borderId="83" xfId="1" applyFont="1" applyFill="1" applyBorder="1" applyAlignment="1"/>
    <xf numFmtId="0" fontId="7" fillId="0" borderId="40" xfId="4" applyFont="1" applyFill="1" applyBorder="1" applyAlignment="1"/>
    <xf numFmtId="0" fontId="1" fillId="0" borderId="43" xfId="1" applyFont="1" applyBorder="1" applyAlignment="1">
      <alignment vertical="top"/>
    </xf>
    <xf numFmtId="0" fontId="4" fillId="4" borderId="40" xfId="1" applyNumberFormat="1" applyFont="1" applyFill="1" applyBorder="1" applyAlignment="1">
      <alignment vertical="top"/>
    </xf>
    <xf numFmtId="0" fontId="4" fillId="0" borderId="82" xfId="1" applyFont="1" applyFill="1" applyBorder="1" applyAlignment="1"/>
    <xf numFmtId="0" fontId="1" fillId="0" borderId="80" xfId="1" applyFont="1" applyFill="1" applyBorder="1" applyAlignment="1">
      <alignment horizontal="center"/>
    </xf>
    <xf numFmtId="0" fontId="23" fillId="0" borderId="82" xfId="1" applyFont="1" applyFill="1" applyBorder="1" applyAlignment="1">
      <alignment horizontal="right"/>
    </xf>
    <xf numFmtId="0" fontId="23" fillId="0" borderId="80" xfId="1" applyFont="1" applyFill="1" applyBorder="1" applyAlignment="1">
      <alignment horizontal="right"/>
    </xf>
    <xf numFmtId="0" fontId="24" fillId="0" borderId="41" xfId="2" applyFont="1" applyFill="1" applyBorder="1" applyAlignment="1">
      <alignment horizontal="right"/>
    </xf>
    <xf numFmtId="0" fontId="23" fillId="0" borderId="41" xfId="1" applyFont="1" applyFill="1" applyBorder="1" applyAlignment="1">
      <alignment horizontal="center"/>
    </xf>
    <xf numFmtId="0" fontId="4" fillId="17" borderId="9" xfId="1" quotePrefix="1" applyNumberFormat="1" applyFont="1" applyFill="1" applyBorder="1" applyAlignment="1"/>
    <xf numFmtId="0" fontId="4" fillId="17" borderId="9" xfId="1" applyFont="1" applyFill="1" applyBorder="1" applyAlignment="1"/>
    <xf numFmtId="0" fontId="1" fillId="17" borderId="9" xfId="1" applyFont="1" applyFill="1" applyBorder="1" applyAlignment="1"/>
    <xf numFmtId="0" fontId="1" fillId="0" borderId="9" xfId="1" applyFont="1" applyFill="1" applyBorder="1" applyAlignment="1"/>
    <xf numFmtId="0" fontId="1" fillId="0" borderId="9" xfId="1" applyFont="1" applyBorder="1" applyAlignment="1">
      <alignment vertical="top"/>
    </xf>
    <xf numFmtId="0" fontId="1" fillId="0" borderId="9" xfId="1" applyFont="1" applyFill="1" applyBorder="1" applyAlignment="1">
      <alignment vertical="top"/>
    </xf>
    <xf numFmtId="0" fontId="4" fillId="0" borderId="9" xfId="1" applyFont="1" applyFill="1" applyBorder="1" applyAlignment="1"/>
    <xf numFmtId="0" fontId="4" fillId="0" borderId="11" xfId="1" applyFont="1" applyBorder="1" applyAlignment="1">
      <alignment vertical="top"/>
    </xf>
    <xf numFmtId="0" fontId="27" fillId="0" borderId="14" xfId="1" applyFont="1" applyFill="1" applyBorder="1" applyAlignment="1"/>
    <xf numFmtId="0" fontId="6" fillId="0" borderId="14" xfId="2" applyFill="1" applyBorder="1" applyAlignment="1"/>
    <xf numFmtId="0" fontId="0" fillId="0" borderId="31" xfId="0" applyBorder="1"/>
    <xf numFmtId="0" fontId="1" fillId="0" borderId="74" xfId="1" applyFont="1" applyFill="1" applyBorder="1" applyAlignment="1"/>
    <xf numFmtId="0" fontId="6" fillId="0" borderId="46" xfId="2" applyFill="1" applyBorder="1" applyAlignment="1">
      <alignment vertical="top"/>
    </xf>
    <xf numFmtId="0" fontId="0" fillId="0" borderId="75" xfId="0" applyBorder="1"/>
    <xf numFmtId="0" fontId="1" fillId="15" borderId="85" xfId="1" applyFont="1" applyFill="1" applyBorder="1" applyAlignment="1"/>
    <xf numFmtId="0" fontId="1" fillId="0" borderId="86" xfId="1" applyFont="1" applyFill="1" applyBorder="1" applyAlignment="1"/>
    <xf numFmtId="0" fontId="1" fillId="0" borderId="87" xfId="1" applyFont="1" applyFill="1" applyBorder="1" applyAlignment="1"/>
    <xf numFmtId="0" fontId="1" fillId="0" borderId="88" xfId="1" applyFont="1" applyFill="1" applyBorder="1" applyAlignment="1"/>
    <xf numFmtId="0" fontId="23" fillId="0" borderId="0" xfId="1" applyFont="1" applyFill="1" applyBorder="1" applyAlignment="1">
      <alignment horizontal="right"/>
    </xf>
    <xf numFmtId="0" fontId="1" fillId="0" borderId="89" xfId="1" applyFont="1" applyFill="1" applyBorder="1" applyAlignment="1"/>
    <xf numFmtId="0" fontId="7" fillId="0" borderId="40" xfId="2" applyFont="1" applyFill="1" applyBorder="1"/>
    <xf numFmtId="0" fontId="6" fillId="0" borderId="23" xfId="2" applyFill="1" applyBorder="1" applyAlignment="1"/>
    <xf numFmtId="0" fontId="2" fillId="0" borderId="23" xfId="1" applyFont="1" applyFill="1" applyBorder="1" applyAlignment="1"/>
    <xf numFmtId="0" fontId="2" fillId="14" borderId="12" xfId="1" applyFont="1" applyFill="1" applyBorder="1" applyAlignment="1"/>
    <xf numFmtId="0" fontId="4" fillId="0" borderId="14" xfId="1" applyFont="1" applyBorder="1" applyAlignment="1">
      <alignment vertical="top"/>
    </xf>
    <xf numFmtId="0" fontId="1" fillId="15" borderId="75" xfId="1" applyFont="1" applyFill="1" applyBorder="1" applyAlignment="1"/>
    <xf numFmtId="0" fontId="23" fillId="0" borderId="48" xfId="1" applyFont="1" applyFill="1" applyBorder="1" applyAlignment="1"/>
    <xf numFmtId="0" fontId="6" fillId="0" borderId="63" xfId="2" applyFill="1" applyBorder="1" applyAlignment="1"/>
    <xf numFmtId="0" fontId="4" fillId="15" borderId="14" xfId="1" applyFont="1" applyFill="1" applyBorder="1" applyAlignment="1">
      <alignment vertical="top"/>
    </xf>
    <xf numFmtId="0" fontId="23" fillId="0" borderId="14" xfId="1" applyFont="1" applyFill="1" applyBorder="1" applyAlignment="1"/>
    <xf numFmtId="0" fontId="1" fillId="2" borderId="0" xfId="1" applyFont="1" applyFill="1" applyAlignment="1">
      <alignment vertical="top"/>
    </xf>
    <xf numFmtId="0" fontId="4" fillId="15" borderId="40" xfId="1" applyFont="1" applyFill="1" applyBorder="1" applyAlignment="1">
      <alignment vertical="top"/>
    </xf>
    <xf numFmtId="0" fontId="1" fillId="15" borderId="43" xfId="1" applyFont="1" applyFill="1" applyBorder="1" applyAlignment="1"/>
    <xf numFmtId="0" fontId="23" fillId="0" borderId="40" xfId="1" applyFont="1" applyFill="1" applyBorder="1" applyAlignment="1"/>
    <xf numFmtId="0" fontId="6" fillId="0" borderId="41" xfId="2" applyFill="1" applyBorder="1" applyAlignment="1">
      <alignment vertical="top"/>
    </xf>
    <xf numFmtId="0" fontId="6" fillId="0" borderId="40" xfId="2" applyFill="1" applyBorder="1" applyAlignment="1">
      <alignment horizontal="right"/>
    </xf>
    <xf numFmtId="0" fontId="6" fillId="0" borderId="43" xfId="2" applyFill="1" applyBorder="1" applyAlignment="1">
      <alignment vertical="top"/>
    </xf>
    <xf numFmtId="0" fontId="4" fillId="13" borderId="90" xfId="1" applyFont="1" applyFill="1" applyBorder="1" applyAlignment="1"/>
    <xf numFmtId="0" fontId="1" fillId="0" borderId="85" xfId="1" applyFont="1" applyBorder="1" applyAlignment="1">
      <alignment vertical="top"/>
    </xf>
    <xf numFmtId="0" fontId="4" fillId="17" borderId="0" xfId="1" quotePrefix="1" applyNumberFormat="1" applyFont="1" applyFill="1" applyBorder="1" applyAlignment="1"/>
    <xf numFmtId="0" fontId="4" fillId="17" borderId="0" xfId="1" applyFont="1" applyFill="1" applyBorder="1" applyAlignment="1"/>
    <xf numFmtId="0" fontId="1" fillId="17" borderId="0" xfId="1" applyFont="1" applyFill="1" applyBorder="1" applyAlignment="1"/>
    <xf numFmtId="0" fontId="1" fillId="0" borderId="0" xfId="1" applyFont="1" applyFill="1" applyBorder="1" applyAlignment="1">
      <alignment vertical="top"/>
    </xf>
    <xf numFmtId="0" fontId="4" fillId="15" borderId="75" xfId="1" applyFont="1" applyFill="1" applyBorder="1" applyAlignment="1"/>
    <xf numFmtId="0" fontId="24" fillId="0" borderId="71" xfId="2" applyFont="1" applyFill="1" applyBorder="1" applyAlignment="1"/>
    <xf numFmtId="0" fontId="23" fillId="0" borderId="25" xfId="0" applyFont="1" applyFill="1" applyBorder="1" applyAlignment="1"/>
    <xf numFmtId="0" fontId="24" fillId="0" borderId="25" xfId="2" applyFont="1" applyFill="1" applyBorder="1" applyAlignment="1">
      <alignment vertical="top"/>
    </xf>
    <xf numFmtId="0" fontId="6" fillId="0" borderId="43" xfId="2" applyFill="1" applyBorder="1" applyAlignment="1"/>
    <xf numFmtId="0" fontId="7" fillId="4" borderId="19" xfId="2" applyFont="1" applyFill="1" applyBorder="1" applyAlignment="1">
      <alignment vertical="top"/>
    </xf>
    <xf numFmtId="0" fontId="1" fillId="4" borderId="23" xfId="1" applyFont="1" applyFill="1" applyBorder="1" applyAlignment="1"/>
    <xf numFmtId="0" fontId="0" fillId="4" borderId="25" xfId="1" applyFont="1" applyFill="1" applyBorder="1" applyAlignment="1">
      <alignment vertical="top"/>
    </xf>
    <xf numFmtId="0" fontId="4" fillId="4" borderId="23" xfId="1" applyFont="1" applyFill="1" applyBorder="1" applyAlignment="1">
      <alignment vertical="top"/>
    </xf>
    <xf numFmtId="0" fontId="1" fillId="0" borderId="68" xfId="1" applyFont="1" applyFill="1" applyBorder="1" applyAlignment="1"/>
    <xf numFmtId="0" fontId="1" fillId="4" borderId="92" xfId="1" applyFont="1" applyFill="1" applyBorder="1" applyAlignment="1"/>
    <xf numFmtId="0" fontId="4" fillId="4" borderId="31" xfId="1" applyFont="1" applyFill="1" applyBorder="1" applyAlignment="1">
      <alignment vertical="top"/>
    </xf>
    <xf numFmtId="0" fontId="1" fillId="0" borderId="93" xfId="1" applyFont="1" applyFill="1" applyBorder="1" applyAlignment="1"/>
    <xf numFmtId="0" fontId="4" fillId="0" borderId="94" xfId="1" applyFont="1" applyFill="1" applyBorder="1" applyAlignment="1"/>
    <xf numFmtId="0" fontId="1" fillId="0" borderId="95" xfId="1" applyFont="1" applyFill="1" applyBorder="1" applyAlignment="1"/>
    <xf numFmtId="0" fontId="23" fillId="0" borderId="95" xfId="1" applyFont="1" applyFill="1" applyBorder="1" applyAlignment="1">
      <alignment horizontal="center"/>
    </xf>
    <xf numFmtId="0" fontId="23" fillId="0" borderId="96" xfId="1" applyFont="1" applyFill="1" applyBorder="1" applyAlignment="1">
      <alignment horizontal="right"/>
    </xf>
    <xf numFmtId="0" fontId="23" fillId="0" borderId="97" xfId="7" applyFont="1" applyFill="1" applyBorder="1" applyAlignment="1"/>
    <xf numFmtId="0" fontId="23" fillId="0" borderId="94" xfId="1" applyFont="1" applyFill="1" applyBorder="1" applyAlignment="1">
      <alignment horizontal="right"/>
    </xf>
    <xf numFmtId="0" fontId="23" fillId="0" borderId="94" xfId="1" applyFont="1" applyFill="1" applyBorder="1" applyAlignment="1"/>
    <xf numFmtId="0" fontId="1" fillId="0" borderId="94" xfId="1" applyFont="1" applyFill="1" applyBorder="1" applyAlignment="1"/>
    <xf numFmtId="0" fontId="23" fillId="0" borderId="94" xfId="1" applyFont="1" applyFill="1" applyBorder="1" applyAlignment="1">
      <alignment horizontal="center"/>
    </xf>
    <xf numFmtId="0" fontId="4" fillId="0" borderId="98" xfId="1" applyFont="1" applyFill="1" applyBorder="1" applyAlignment="1"/>
    <xf numFmtId="0" fontId="1" fillId="0" borderId="0" xfId="1" applyFont="1" applyBorder="1" applyAlignment="1">
      <alignment vertical="top"/>
    </xf>
    <xf numFmtId="0" fontId="7" fillId="4" borderId="32" xfId="4" applyFont="1" applyFill="1" applyBorder="1" applyAlignment="1"/>
    <xf numFmtId="0" fontId="4" fillId="4" borderId="43" xfId="1" applyFont="1" applyFill="1" applyBorder="1" applyAlignment="1">
      <alignment vertical="top"/>
    </xf>
    <xf numFmtId="0" fontId="24" fillId="0" borderId="41" xfId="2" applyFont="1" applyFill="1" applyBorder="1" applyAlignment="1"/>
    <xf numFmtId="0" fontId="24" fillId="0" borderId="41" xfId="2" applyFont="1" applyFill="1" applyBorder="1" applyAlignment="1">
      <alignment horizontal="center"/>
    </xf>
    <xf numFmtId="0" fontId="1" fillId="0" borderId="41" xfId="1" applyFont="1" applyFill="1" applyBorder="1" applyAlignment="1">
      <alignment vertical="top"/>
    </xf>
    <xf numFmtId="0" fontId="4" fillId="4" borderId="99" xfId="1" applyFont="1" applyFill="1" applyBorder="1" applyAlignment="1"/>
    <xf numFmtId="0" fontId="1" fillId="4" borderId="43" xfId="1" applyFont="1" applyFill="1" applyBorder="1" applyAlignment="1"/>
    <xf numFmtId="0" fontId="1" fillId="0" borderId="0" xfId="1" applyFont="1" applyBorder="1" applyAlignment="1"/>
    <xf numFmtId="0" fontId="1" fillId="0" borderId="11" xfId="7" applyFont="1" applyFill="1" applyBorder="1" applyAlignment="1"/>
    <xf numFmtId="0" fontId="1" fillId="0" borderId="73" xfId="1" applyFont="1" applyFill="1" applyBorder="1" applyAlignment="1"/>
    <xf numFmtId="0" fontId="7" fillId="2" borderId="11" xfId="2" applyFont="1" applyFill="1" applyBorder="1" applyAlignment="1"/>
    <xf numFmtId="0" fontId="1" fillId="9" borderId="11" xfId="2" applyFont="1" applyFill="1" applyBorder="1" applyAlignment="1"/>
    <xf numFmtId="0" fontId="1" fillId="0" borderId="14" xfId="1" applyFont="1" applyBorder="1" applyAlignment="1">
      <alignment vertical="top"/>
    </xf>
    <xf numFmtId="0" fontId="1" fillId="0" borderId="25" xfId="1" applyFont="1" applyBorder="1" applyAlignment="1">
      <alignment vertical="top"/>
    </xf>
    <xf numFmtId="0" fontId="1" fillId="0" borderId="23" xfId="1" applyFont="1" applyBorder="1" applyAlignment="1">
      <alignment vertical="top"/>
    </xf>
    <xf numFmtId="0" fontId="1" fillId="0" borderId="31" xfId="1" applyFont="1" applyBorder="1" applyAlignment="1">
      <alignment vertical="top"/>
    </xf>
    <xf numFmtId="0" fontId="4" fillId="2" borderId="99" xfId="1" applyFont="1" applyFill="1" applyBorder="1" applyAlignment="1"/>
    <xf numFmtId="0" fontId="1" fillId="9" borderId="14" xfId="2" applyFont="1" applyFill="1" applyBorder="1" applyAlignment="1"/>
    <xf numFmtId="0" fontId="1" fillId="0" borderId="46" xfId="7" applyFont="1" applyFill="1" applyBorder="1" applyAlignment="1"/>
    <xf numFmtId="0" fontId="23" fillId="0" borderId="74" xfId="1" applyFont="1" applyFill="1" applyBorder="1" applyAlignment="1"/>
    <xf numFmtId="0" fontId="1" fillId="0" borderId="101" xfId="1" applyFont="1" applyFill="1" applyBorder="1" applyAlignment="1"/>
    <xf numFmtId="0" fontId="4" fillId="0" borderId="102" xfId="1" applyFont="1" applyFill="1" applyBorder="1" applyAlignment="1"/>
    <xf numFmtId="0" fontId="1" fillId="0" borderId="74" xfId="1" applyFont="1" applyBorder="1" applyAlignment="1">
      <alignment vertical="top"/>
    </xf>
    <xf numFmtId="0" fontId="7" fillId="2" borderId="46" xfId="2" applyFont="1" applyFill="1" applyBorder="1" applyAlignment="1"/>
    <xf numFmtId="0" fontId="4" fillId="2" borderId="75" xfId="1" applyFont="1" applyFill="1" applyBorder="1" applyAlignment="1"/>
    <xf numFmtId="0" fontId="7" fillId="9" borderId="40" xfId="4" applyFont="1" applyFill="1" applyBorder="1" applyAlignment="1"/>
    <xf numFmtId="0" fontId="4" fillId="2" borderId="43" xfId="1" applyFont="1" applyFill="1" applyBorder="1" applyAlignment="1"/>
    <xf numFmtId="0" fontId="1" fillId="0" borderId="93" xfId="7" applyFont="1" applyFill="1" applyBorder="1" applyAlignment="1"/>
    <xf numFmtId="0" fontId="1" fillId="0" borderId="94" xfId="1" applyFont="1" applyBorder="1" applyAlignment="1">
      <alignment vertical="top"/>
    </xf>
    <xf numFmtId="0" fontId="1" fillId="0" borderId="103" xfId="2" applyFont="1" applyFill="1" applyBorder="1" applyAlignment="1"/>
    <xf numFmtId="0" fontId="1" fillId="0" borderId="104" xfId="1" applyFont="1" applyFill="1" applyBorder="1" applyAlignment="1"/>
    <xf numFmtId="0" fontId="1" fillId="0" borderId="104" xfId="1" applyFont="1" applyBorder="1" applyAlignment="1">
      <alignment vertical="top"/>
    </xf>
    <xf numFmtId="0" fontId="24" fillId="0" borderId="104" xfId="2" applyFont="1" applyFill="1" applyBorder="1" applyAlignment="1">
      <alignment horizontal="center"/>
    </xf>
    <xf numFmtId="0" fontId="1" fillId="0" borderId="105" xfId="1" applyFont="1" applyFill="1" applyBorder="1" applyAlignment="1"/>
    <xf numFmtId="0" fontId="1" fillId="0" borderId="8" xfId="1" applyFont="1" applyFill="1" applyBorder="1" applyAlignment="1"/>
    <xf numFmtId="0" fontId="1" fillId="0" borderId="8" xfId="2" applyFont="1" applyFill="1" applyBorder="1" applyAlignment="1"/>
    <xf numFmtId="0" fontId="24" fillId="0" borderId="9" xfId="2" applyFont="1" applyFill="1" applyBorder="1" applyAlignment="1">
      <alignment horizontal="center"/>
    </xf>
    <xf numFmtId="0" fontId="17" fillId="0" borderId="106" xfId="2" applyFont="1" applyFill="1" applyBorder="1" applyAlignment="1"/>
    <xf numFmtId="0" fontId="4" fillId="0" borderId="107" xfId="1" applyFont="1" applyFill="1" applyBorder="1" applyAlignment="1"/>
    <xf numFmtId="0" fontId="4" fillId="0" borderId="106" xfId="6" applyFont="1" applyFill="1" applyBorder="1" applyAlignment="1">
      <alignment vertical="top"/>
    </xf>
    <xf numFmtId="0" fontId="1" fillId="0" borderId="41" xfId="1" applyFont="1" applyBorder="1" applyAlignment="1">
      <alignment vertical="top"/>
    </xf>
    <xf numFmtId="0" fontId="17" fillId="0" borderId="108" xfId="2" applyFont="1" applyBorder="1" applyAlignment="1"/>
    <xf numFmtId="0" fontId="1" fillId="0" borderId="59" xfId="1" applyFont="1" applyBorder="1" applyAlignment="1">
      <alignment vertical="top"/>
    </xf>
    <xf numFmtId="0" fontId="23" fillId="0" borderId="109" xfId="1" applyFont="1" applyFill="1" applyBorder="1" applyAlignment="1"/>
    <xf numFmtId="0" fontId="23" fillId="0" borderId="95" xfId="1" applyFont="1" applyFill="1" applyBorder="1" applyAlignment="1"/>
    <xf numFmtId="0" fontId="23" fillId="0" borderId="110" xfId="1" applyFont="1" applyFill="1" applyBorder="1" applyAlignment="1">
      <alignment horizontal="center"/>
    </xf>
    <xf numFmtId="0" fontId="0" fillId="0" borderId="95" xfId="1" applyFont="1" applyFill="1" applyBorder="1" applyAlignment="1">
      <alignment vertical="top"/>
    </xf>
    <xf numFmtId="0" fontId="23" fillId="0" borderId="109" xfId="1" applyFont="1" applyFill="1" applyBorder="1" applyAlignment="1">
      <alignment horizontal="right" vertical="top"/>
    </xf>
    <xf numFmtId="0" fontId="23" fillId="0" borderId="95" xfId="1" applyFont="1" applyFill="1" applyBorder="1" applyAlignment="1">
      <alignment horizontal="right" vertical="top"/>
    </xf>
    <xf numFmtId="0" fontId="23" fillId="0" borderId="109" xfId="1" applyFont="1" applyFill="1" applyBorder="1" applyAlignment="1">
      <alignment vertical="top"/>
    </xf>
    <xf numFmtId="0" fontId="23" fillId="0" borderId="111" xfId="1" applyFont="1" applyFill="1" applyBorder="1" applyAlignment="1">
      <alignment horizontal="right"/>
    </xf>
    <xf numFmtId="0" fontId="23" fillId="0" borderId="89" xfId="2" applyFont="1" applyFill="1" applyBorder="1" applyAlignment="1"/>
    <xf numFmtId="0" fontId="1" fillId="0" borderId="112" xfId="1" applyFont="1" applyBorder="1" applyAlignment="1">
      <alignment vertical="top"/>
    </xf>
    <xf numFmtId="0" fontId="23" fillId="0" borderId="113" xfId="1" applyFont="1" applyFill="1" applyBorder="1" applyAlignment="1">
      <alignment horizontal="center"/>
    </xf>
    <xf numFmtId="0" fontId="23" fillId="0" borderId="113" xfId="1" applyFont="1" applyFill="1" applyBorder="1" applyAlignment="1"/>
    <xf numFmtId="0" fontId="23" fillId="0" borderId="114" xfId="1" applyFont="1" applyFill="1" applyBorder="1" applyAlignment="1"/>
    <xf numFmtId="0" fontId="1" fillId="0" borderId="114" xfId="1" applyFont="1" applyFill="1" applyBorder="1" applyAlignment="1"/>
    <xf numFmtId="0" fontId="23" fillId="0" borderId="114" xfId="1" applyFont="1" applyFill="1" applyBorder="1" applyAlignment="1">
      <alignment vertical="top"/>
    </xf>
    <xf numFmtId="0" fontId="23" fillId="0" borderId="114" xfId="1" applyFont="1" applyFill="1" applyBorder="1" applyAlignment="1">
      <alignment horizontal="center" vertical="top"/>
    </xf>
    <xf numFmtId="0" fontId="1" fillId="0" borderId="114" xfId="1" applyFont="1" applyFill="1" applyBorder="1" applyAlignment="1">
      <alignment vertical="top"/>
    </xf>
    <xf numFmtId="0" fontId="1" fillId="0" borderId="113" xfId="1" applyFont="1" applyFill="1" applyBorder="1" applyAlignment="1"/>
    <xf numFmtId="0" fontId="23" fillId="0" borderId="33" xfId="2" applyFont="1" applyFill="1" applyBorder="1" applyAlignment="1"/>
    <xf numFmtId="0" fontId="4" fillId="0" borderId="99" xfId="1" applyFont="1" applyFill="1" applyBorder="1" applyAlignment="1"/>
    <xf numFmtId="0" fontId="1" fillId="0" borderId="97" xfId="1" applyFont="1" applyFill="1" applyBorder="1" applyAlignment="1"/>
    <xf numFmtId="0" fontId="4" fillId="0" borderId="109" xfId="1" applyFont="1" applyFill="1" applyBorder="1" applyAlignment="1"/>
    <xf numFmtId="0" fontId="0" fillId="0" borderId="95" xfId="1" applyFont="1" applyFill="1" applyBorder="1" applyAlignment="1"/>
    <xf numFmtId="0" fontId="23" fillId="0" borderId="109" xfId="1" applyFont="1" applyFill="1" applyBorder="1" applyAlignment="1">
      <alignment horizontal="center"/>
    </xf>
    <xf numFmtId="0" fontId="1" fillId="0" borderId="115" xfId="1" applyFont="1" applyFill="1" applyBorder="1" applyAlignment="1"/>
    <xf numFmtId="0" fontId="1" fillId="0" borderId="116" xfId="1" applyFont="1" applyFill="1" applyBorder="1" applyAlignment="1"/>
    <xf numFmtId="0" fontId="4" fillId="0" borderId="110" xfId="1" applyFont="1" applyFill="1" applyBorder="1" applyAlignment="1"/>
    <xf numFmtId="0" fontId="0" fillId="0" borderId="110" xfId="1" applyFont="1" applyFill="1" applyBorder="1" applyAlignment="1"/>
    <xf numFmtId="0" fontId="1" fillId="0" borderId="117" xfId="1" applyFont="1" applyFill="1" applyBorder="1" applyAlignment="1"/>
    <xf numFmtId="0" fontId="28" fillId="15" borderId="0" xfId="0" applyFont="1" applyFill="1"/>
    <xf numFmtId="0" fontId="4" fillId="15" borderId="0" xfId="1" applyFont="1" applyFill="1" applyAlignment="1"/>
    <xf numFmtId="0" fontId="1" fillId="15" borderId="0" xfId="1" applyFont="1" applyFill="1" applyAlignment="1"/>
    <xf numFmtId="0" fontId="4" fillId="0" borderId="0" xfId="1" applyFont="1" applyFill="1" applyAlignment="1"/>
    <xf numFmtId="0" fontId="4" fillId="15" borderId="0" xfId="5" applyFont="1" applyFill="1" applyBorder="1" applyAlignment="1"/>
    <xf numFmtId="0" fontId="1" fillId="4" borderId="0" xfId="1" applyFont="1" applyFill="1" applyAlignment="1"/>
    <xf numFmtId="0" fontId="4" fillId="4" borderId="0" xfId="1" applyFont="1" applyFill="1" applyAlignment="1"/>
    <xf numFmtId="0" fontId="3" fillId="0" borderId="0" xfId="1" applyFont="1" applyFill="1" applyAlignment="1"/>
    <xf numFmtId="0" fontId="23" fillId="0" borderId="0" xfId="1" applyFont="1" applyFill="1" applyAlignment="1">
      <alignment horizontal="right"/>
    </xf>
    <xf numFmtId="0" fontId="24" fillId="0" borderId="0" xfId="2" applyFont="1" applyFill="1" applyBorder="1" applyAlignment="1">
      <alignment horizontal="right"/>
    </xf>
    <xf numFmtId="0" fontId="24" fillId="0" borderId="0" xfId="2" applyFont="1" applyFill="1" applyBorder="1" applyAlignment="1">
      <alignment horizontal="center"/>
    </xf>
    <xf numFmtId="0" fontId="23" fillId="0" borderId="0" xfId="1" applyFont="1" applyFill="1" applyBorder="1" applyAlignment="1">
      <alignment horizontal="center"/>
    </xf>
    <xf numFmtId="0" fontId="6" fillId="0" borderId="74" xfId="2" applyFill="1" applyBorder="1" applyAlignment="1"/>
    <xf numFmtId="0" fontId="23" fillId="0" borderId="94" xfId="0" applyFont="1" applyBorder="1"/>
    <xf numFmtId="0" fontId="23" fillId="0" borderId="120" xfId="0" applyFont="1" applyBorder="1"/>
    <xf numFmtId="0" fontId="24" fillId="0" borderId="104" xfId="2" applyFont="1" applyFill="1" applyBorder="1" applyAlignment="1"/>
    <xf numFmtId="0" fontId="23" fillId="0" borderId="104" xfId="1" applyFont="1" applyFill="1" applyBorder="1" applyAlignment="1">
      <alignment horizontal="center"/>
    </xf>
    <xf numFmtId="0" fontId="24" fillId="0" borderId="119" xfId="2" applyFont="1" applyFill="1" applyBorder="1" applyAlignment="1">
      <alignment horizontal="right"/>
    </xf>
    <xf numFmtId="0" fontId="6" fillId="0" borderId="98" xfId="2" applyBorder="1"/>
    <xf numFmtId="0" fontId="6" fillId="0" borderId="105" xfId="2" applyFill="1" applyBorder="1" applyAlignment="1"/>
    <xf numFmtId="0" fontId="6" fillId="0" borderId="0" xfId="2" applyFill="1" applyAlignment="1"/>
    <xf numFmtId="0" fontId="6" fillId="0" borderId="0" xfId="2" applyFill="1" applyAlignment="1">
      <alignment horizontal="right"/>
    </xf>
    <xf numFmtId="0" fontId="1" fillId="0" borderId="0" xfId="5" applyFont="1" applyFill="1" applyAlignment="1"/>
    <xf numFmtId="0" fontId="1" fillId="2" borderId="0" xfId="5" applyFont="1" applyFill="1" applyAlignment="1"/>
    <xf numFmtId="0" fontId="4" fillId="2" borderId="0" xfId="5" applyFont="1" applyFill="1" applyBorder="1" applyAlignment="1"/>
    <xf numFmtId="0" fontId="4" fillId="0" borderId="0" xfId="5" applyFont="1" applyFill="1" applyBorder="1" applyAlignment="1">
      <alignment horizontal="center"/>
    </xf>
    <xf numFmtId="0" fontId="0" fillId="2" borderId="0" xfId="0" applyFont="1" applyFill="1"/>
    <xf numFmtId="0" fontId="4" fillId="2" borderId="0" xfId="0" applyFont="1" applyFill="1"/>
    <xf numFmtId="0" fontId="4" fillId="2" borderId="0" xfId="5" applyFont="1" applyFill="1" applyBorder="1" applyAlignment="1">
      <alignment horizontal="center"/>
    </xf>
    <xf numFmtId="0" fontId="1" fillId="0" borderId="0" xfId="5" applyFont="1" applyFill="1" applyBorder="1" applyAlignment="1"/>
    <xf numFmtId="0" fontId="1" fillId="0" borderId="0" xfId="5" applyFont="1" applyFill="1" applyAlignment="1">
      <alignment horizontal="center"/>
    </xf>
    <xf numFmtId="0" fontId="6" fillId="0" borderId="0" xfId="2" applyAlignment="1"/>
    <xf numFmtId="0" fontId="31" fillId="0" borderId="0" xfId="5" applyFont="1" applyFill="1" applyAlignment="1">
      <alignment horizontal="right"/>
    </xf>
    <xf numFmtId="0" fontId="1" fillId="0" borderId="0" xfId="5" applyFont="1" applyFill="1" applyAlignment="1">
      <alignment horizontal="right"/>
    </xf>
    <xf numFmtId="0" fontId="1" fillId="0" borderId="0" xfId="5" applyFont="1" applyFill="1" applyAlignment="1">
      <alignment textRotation="90"/>
    </xf>
    <xf numFmtId="0" fontId="4" fillId="8" borderId="0" xfId="5" applyFont="1" applyFill="1" applyAlignment="1"/>
    <xf numFmtId="0" fontId="30" fillId="0" borderId="0" xfId="8" applyFont="1" applyFill="1" applyBorder="1" applyAlignment="1"/>
    <xf numFmtId="0" fontId="30" fillId="0" borderId="0" xfId="5" applyFont="1" applyFill="1" applyBorder="1" applyAlignment="1"/>
    <xf numFmtId="0" fontId="0" fillId="0" borderId="0" xfId="0" applyFont="1" applyFill="1"/>
    <xf numFmtId="0" fontId="0" fillId="0" borderId="0" xfId="0" applyFont="1"/>
    <xf numFmtId="0" fontId="1" fillId="18" borderId="0" xfId="5" applyFont="1" applyFill="1" applyAlignment="1"/>
    <xf numFmtId="0" fontId="30" fillId="0" borderId="1" xfId="5" applyFont="1" applyFill="1" applyBorder="1" applyAlignment="1"/>
    <xf numFmtId="0" fontId="1" fillId="0" borderId="1" xfId="5" applyFont="1" applyFill="1" applyBorder="1" applyAlignment="1"/>
    <xf numFmtId="0" fontId="1" fillId="0" borderId="1" xfId="9" applyFont="1" applyFill="1" applyBorder="1" applyAlignment="1">
      <alignment horizontal="center"/>
    </xf>
    <xf numFmtId="0" fontId="1" fillId="0" borderId="1" xfId="5" applyFont="1" applyFill="1" applyBorder="1" applyAlignment="1">
      <alignment horizontal="center" wrapText="1"/>
    </xf>
    <xf numFmtId="0" fontId="0" fillId="10" borderId="1" xfId="5" applyFont="1" applyFill="1" applyBorder="1" applyAlignment="1">
      <alignment horizontal="center" wrapText="1"/>
    </xf>
    <xf numFmtId="0" fontId="0" fillId="0" borderId="1" xfId="5" applyFont="1" applyFill="1" applyBorder="1" applyAlignment="1">
      <alignment horizontal="center" wrapText="1"/>
    </xf>
    <xf numFmtId="0" fontId="0" fillId="4" borderId="1" xfId="5" applyFont="1" applyFill="1" applyBorder="1" applyAlignment="1">
      <alignment horizontal="center" wrapText="1"/>
    </xf>
    <xf numFmtId="0" fontId="0" fillId="10" borderId="1" xfId="8" applyFont="1" applyFill="1" applyBorder="1" applyAlignment="1">
      <alignment textRotation="90"/>
    </xf>
    <xf numFmtId="0" fontId="0" fillId="4" borderId="1" xfId="8" applyFont="1" applyFill="1" applyBorder="1" applyAlignment="1">
      <alignment textRotation="90"/>
    </xf>
    <xf numFmtId="0" fontId="0" fillId="19" borderId="1" xfId="8" applyFont="1" applyFill="1" applyBorder="1" applyAlignment="1">
      <alignment textRotation="90"/>
    </xf>
    <xf numFmtId="0" fontId="0" fillId="8" borderId="1" xfId="8" applyFont="1" applyFill="1" applyBorder="1" applyAlignment="1">
      <alignment textRotation="90"/>
    </xf>
    <xf numFmtId="0" fontId="0" fillId="2" borderId="1" xfId="8" applyFont="1" applyFill="1" applyBorder="1" applyAlignment="1">
      <alignment textRotation="90"/>
    </xf>
    <xf numFmtId="0" fontId="1" fillId="0" borderId="1" xfId="5" applyFont="1" applyFill="1" applyBorder="1" applyAlignment="1">
      <alignment horizontal="center" textRotation="90"/>
    </xf>
    <xf numFmtId="0" fontId="1" fillId="15" borderId="1" xfId="8" applyNumberFormat="1" applyFont="1" applyFill="1" applyBorder="1" applyAlignment="1">
      <alignment textRotation="90"/>
    </xf>
    <xf numFmtId="0" fontId="4" fillId="2" borderId="122" xfId="5" applyFont="1" applyFill="1" applyBorder="1" applyAlignment="1">
      <alignment horizontal="center"/>
    </xf>
    <xf numFmtId="0" fontId="4" fillId="2" borderId="123" xfId="5" applyFont="1" applyFill="1" applyBorder="1" applyAlignment="1">
      <alignment horizontal="center"/>
    </xf>
    <xf numFmtId="0" fontId="1" fillId="2" borderId="123" xfId="5" applyFont="1" applyFill="1" applyBorder="1" applyAlignment="1"/>
    <xf numFmtId="0" fontId="4" fillId="2" borderId="123" xfId="5" applyFont="1" applyFill="1" applyBorder="1" applyAlignment="1">
      <alignment horizontal="right"/>
    </xf>
    <xf numFmtId="0" fontId="4" fillId="2" borderId="124" xfId="5" applyFont="1" applyFill="1" applyBorder="1" applyAlignment="1">
      <alignment horizontal="right"/>
    </xf>
    <xf numFmtId="0" fontId="4" fillId="0" borderId="124" xfId="5" applyFont="1" applyFill="1" applyBorder="1" applyAlignment="1">
      <alignment horizontal="center"/>
    </xf>
    <xf numFmtId="0" fontId="33" fillId="15" borderId="1" xfId="5" applyFont="1" applyFill="1" applyBorder="1" applyAlignment="1">
      <alignment horizontal="center"/>
    </xf>
    <xf numFmtId="0" fontId="34" fillId="0" borderId="1" xfId="9" applyFont="1" applyFill="1" applyBorder="1" applyAlignment="1">
      <alignment horizontal="center"/>
    </xf>
    <xf numFmtId="0" fontId="31" fillId="0" borderId="1" xfId="9" applyFont="1" applyFill="1" applyBorder="1" applyAlignment="1">
      <alignment horizontal="center"/>
    </xf>
    <xf numFmtId="0" fontId="35" fillId="0" borderId="1" xfId="9" applyFont="1" applyFill="1" applyBorder="1" applyAlignment="1">
      <alignment horizontal="center"/>
    </xf>
    <xf numFmtId="0" fontId="36" fillId="0" borderId="1" xfId="9" applyFont="1" applyFill="1" applyBorder="1" applyAlignment="1">
      <alignment horizontal="center"/>
    </xf>
    <xf numFmtId="0" fontId="4" fillId="2" borderId="1" xfId="10" applyFont="1" applyFill="1" applyBorder="1" applyAlignment="1">
      <alignment horizontal="center"/>
    </xf>
    <xf numFmtId="0" fontId="4" fillId="0" borderId="1" xfId="5" applyFont="1" applyFill="1" applyBorder="1" applyAlignment="1">
      <alignment horizontal="center"/>
    </xf>
    <xf numFmtId="0" fontId="1" fillId="4" borderId="1" xfId="9" applyFont="1" applyFill="1" applyBorder="1" applyAlignment="1">
      <alignment horizontal="center"/>
    </xf>
    <xf numFmtId="0" fontId="4" fillId="2" borderId="1" xfId="8" applyFont="1" applyFill="1" applyBorder="1" applyAlignment="1">
      <alignment horizontal="center"/>
    </xf>
    <xf numFmtId="0" fontId="38" fillId="0" borderId="1" xfId="9" applyFont="1" applyFill="1" applyBorder="1" applyAlignment="1">
      <alignment horizontal="center"/>
    </xf>
    <xf numFmtId="0" fontId="38" fillId="0" borderId="1" xfId="8" applyFont="1" applyFill="1" applyBorder="1" applyAlignment="1">
      <alignment horizontal="center"/>
    </xf>
    <xf numFmtId="0" fontId="38" fillId="0" borderId="1" xfId="8" applyFont="1" applyFill="1" applyBorder="1" applyAlignment="1"/>
    <xf numFmtId="0" fontId="6" fillId="0" borderId="1" xfId="2" applyFill="1" applyBorder="1" applyAlignment="1">
      <alignment horizontal="center"/>
    </xf>
    <xf numFmtId="0" fontId="1" fillId="0" borderId="121" xfId="5" applyFont="1" applyFill="1" applyBorder="1" applyAlignment="1">
      <alignment textRotation="90"/>
    </xf>
    <xf numFmtId="0" fontId="1" fillId="0" borderId="0" xfId="5" applyFont="1" applyFill="1" applyAlignment="1">
      <alignment horizontal="center" textRotation="90"/>
    </xf>
    <xf numFmtId="0" fontId="3" fillId="0" borderId="0" xfId="9" applyFont="1" applyBorder="1" applyAlignment="1">
      <alignment horizontal="center"/>
    </xf>
    <xf numFmtId="0" fontId="34" fillId="0" borderId="1" xfId="9" applyNumberFormat="1" applyFont="1" applyFill="1" applyBorder="1" applyAlignment="1">
      <alignment horizontal="center"/>
    </xf>
    <xf numFmtId="0" fontId="31" fillId="0" borderId="1" xfId="9" applyNumberFormat="1" applyFont="1" applyFill="1" applyBorder="1" applyAlignment="1"/>
    <xf numFmtId="0" fontId="35" fillId="0" borderId="1" xfId="9" applyNumberFormat="1" applyFont="1" applyFill="1" applyBorder="1" applyAlignment="1">
      <alignment horizontal="center"/>
    </xf>
    <xf numFmtId="0" fontId="36" fillId="0" borderId="1" xfId="9" applyNumberFormat="1" applyFont="1" applyFill="1" applyBorder="1" applyAlignment="1"/>
    <xf numFmtId="0" fontId="4" fillId="2" borderId="1" xfId="8" applyFont="1" applyFill="1" applyBorder="1" applyAlignment="1"/>
    <xf numFmtId="0" fontId="31" fillId="0" borderId="1" xfId="9" applyNumberFormat="1" applyFont="1" applyFill="1" applyBorder="1" applyAlignment="1">
      <alignment horizontal="center"/>
    </xf>
    <xf numFmtId="0" fontId="1" fillId="4" borderId="1" xfId="9" applyNumberFormat="1" applyFont="1" applyFill="1" applyBorder="1" applyAlignment="1">
      <alignment horizontal="center"/>
    </xf>
    <xf numFmtId="0" fontId="4" fillId="2" borderId="1" xfId="8" applyNumberFormat="1" applyFont="1" applyFill="1" applyBorder="1" applyAlignment="1">
      <alignment horizontal="center"/>
    </xf>
    <xf numFmtId="166" fontId="38" fillId="0" borderId="1" xfId="8" applyNumberFormat="1" applyFont="1" applyFill="1" applyBorder="1" applyAlignment="1"/>
    <xf numFmtId="166" fontId="38" fillId="0" borderId="1" xfId="8" applyNumberFormat="1" applyFont="1" applyFill="1" applyBorder="1" applyAlignment="1">
      <alignment horizontal="center"/>
    </xf>
    <xf numFmtId="166" fontId="38" fillId="4" borderId="1" xfId="8" applyNumberFormat="1" applyFont="1" applyFill="1" applyBorder="1" applyAlignment="1">
      <alignment horizontal="center"/>
    </xf>
    <xf numFmtId="0" fontId="1" fillId="0" borderId="1" xfId="11" applyFont="1" applyFill="1" applyBorder="1" applyAlignment="1">
      <alignment horizontal="center"/>
    </xf>
    <xf numFmtId="0" fontId="1" fillId="0" borderId="1" xfId="5" applyFont="1" applyFill="1" applyBorder="1" applyAlignment="1">
      <alignment horizontal="center"/>
    </xf>
    <xf numFmtId="166" fontId="1" fillId="0" borderId="0" xfId="5" applyNumberFormat="1" applyFont="1" applyFill="1" applyBorder="1" applyAlignment="1">
      <alignment horizontal="center"/>
    </xf>
    <xf numFmtId="166" fontId="1" fillId="0" borderId="0" xfId="5" applyNumberFormat="1" applyFont="1" applyFill="1" applyAlignment="1">
      <alignment horizontal="center"/>
    </xf>
    <xf numFmtId="0" fontId="40" fillId="0" borderId="0" xfId="5" applyFont="1" applyFill="1" applyAlignment="1">
      <alignment horizontal="center"/>
    </xf>
    <xf numFmtId="0" fontId="0" fillId="4" borderId="1" xfId="9" applyFont="1" applyFill="1" applyBorder="1" applyAlignment="1">
      <alignment horizontal="center"/>
    </xf>
    <xf numFmtId="0" fontId="1" fillId="0" borderId="1" xfId="1" applyFont="1" applyFill="1" applyBorder="1" applyAlignment="1"/>
    <xf numFmtId="0" fontId="0" fillId="0" borderId="1" xfId="1" applyFont="1" applyFill="1" applyBorder="1" applyAlignment="1"/>
    <xf numFmtId="0" fontId="0" fillId="0" borderId="1" xfId="12" applyFont="1" applyFill="1" applyBorder="1" applyAlignment="1"/>
    <xf numFmtId="0" fontId="0" fillId="0" borderId="1" xfId="5" applyFont="1" applyFill="1" applyBorder="1" applyAlignment="1"/>
    <xf numFmtId="0" fontId="0" fillId="0" borderId="0" xfId="5" applyFont="1" applyFill="1" applyAlignment="1"/>
    <xf numFmtId="0" fontId="1" fillId="0" borderId="2" xfId="5" applyFont="1" applyFill="1" applyBorder="1" applyAlignment="1"/>
    <xf numFmtId="0" fontId="4" fillId="2" borderId="122" xfId="8" applyFont="1" applyFill="1" applyBorder="1" applyAlignment="1"/>
    <xf numFmtId="0" fontId="31" fillId="0" borderId="124" xfId="9" applyNumberFormat="1" applyFont="1" applyFill="1" applyBorder="1" applyAlignment="1">
      <alignment horizontal="center"/>
    </xf>
    <xf numFmtId="0" fontId="0" fillId="4" borderId="1" xfId="9" applyNumberFormat="1" applyFont="1" applyFill="1" applyBorder="1" applyAlignment="1">
      <alignment horizontal="center"/>
    </xf>
    <xf numFmtId="0" fontId="4" fillId="0" borderId="0" xfId="5" applyFont="1" applyFill="1" applyAlignment="1">
      <alignment horizontal="center"/>
    </xf>
    <xf numFmtId="0" fontId="1" fillId="0" borderId="125" xfId="5" applyFont="1" applyFill="1" applyBorder="1" applyAlignment="1"/>
    <xf numFmtId="0" fontId="0" fillId="4" borderId="1" xfId="10" applyFont="1" applyFill="1" applyBorder="1" applyAlignment="1">
      <alignment horizontal="center"/>
    </xf>
    <xf numFmtId="0" fontId="31" fillId="9" borderId="1" xfId="9" applyNumberFormat="1" applyFont="1" applyFill="1" applyBorder="1" applyAlignment="1">
      <alignment horizontal="center"/>
    </xf>
    <xf numFmtId="0" fontId="34" fillId="2" borderId="0" xfId="5" applyFont="1" applyFill="1" applyAlignment="1"/>
    <xf numFmtId="0" fontId="35" fillId="2" borderId="0" xfId="5" applyFont="1" applyFill="1" applyAlignment="1"/>
    <xf numFmtId="0" fontId="4" fillId="2" borderId="0" xfId="5" applyFont="1" applyFill="1" applyAlignment="1"/>
    <xf numFmtId="0" fontId="1" fillId="2" borderId="0" xfId="5" applyFont="1" applyFill="1" applyAlignment="1">
      <alignment horizontal="right"/>
    </xf>
    <xf numFmtId="0" fontId="4" fillId="2" borderId="0" xfId="5" applyFont="1" applyFill="1" applyAlignment="1">
      <alignment horizontal="center"/>
    </xf>
    <xf numFmtId="166" fontId="1" fillId="2" borderId="0" xfId="5" applyNumberFormat="1" applyFont="1" applyFill="1" applyAlignment="1">
      <alignment horizontal="center"/>
    </xf>
    <xf numFmtId="166" fontId="4" fillId="2" borderId="0" xfId="5" applyNumberFormat="1" applyFont="1" applyFill="1" applyAlignment="1"/>
    <xf numFmtId="0" fontId="1" fillId="2" borderId="0" xfId="5" applyFont="1" applyFill="1" applyAlignment="1">
      <alignment horizontal="center"/>
    </xf>
    <xf numFmtId="1" fontId="1" fillId="2" borderId="0" xfId="13" applyNumberFormat="1" applyFont="1" applyFill="1" applyBorder="1" applyAlignment="1">
      <alignment horizontal="center"/>
    </xf>
    <xf numFmtId="1" fontId="1" fillId="0" borderId="0" xfId="13" applyNumberFormat="1" applyFont="1" applyFill="1" applyBorder="1" applyAlignment="1">
      <alignment horizontal="center"/>
    </xf>
    <xf numFmtId="0" fontId="3" fillId="0" borderId="0" xfId="5" applyFont="1" applyFill="1" applyAlignment="1"/>
    <xf numFmtId="0" fontId="4" fillId="0" borderId="0" xfId="5" applyFont="1" applyFill="1" applyAlignment="1"/>
    <xf numFmtId="0" fontId="30" fillId="0" borderId="0" xfId="5" applyFont="1" applyFill="1" applyAlignment="1"/>
    <xf numFmtId="0" fontId="7" fillId="0" borderId="0" xfId="5" applyFont="1" applyFill="1" applyAlignment="1"/>
    <xf numFmtId="0" fontId="0" fillId="2" borderId="0" xfId="0" applyFill="1"/>
    <xf numFmtId="0" fontId="1" fillId="0" borderId="0" xfId="8" applyFont="1" applyFill="1" applyAlignment="1"/>
    <xf numFmtId="0" fontId="1" fillId="2" borderId="0" xfId="8" applyFont="1" applyFill="1" applyAlignment="1"/>
    <xf numFmtId="0" fontId="1" fillId="2" borderId="0" xfId="8" applyFont="1" applyFill="1" applyAlignment="1">
      <alignment horizontal="center"/>
    </xf>
    <xf numFmtId="0" fontId="1" fillId="0" borderId="0" xfId="8" applyFont="1" applyFill="1" applyAlignment="1">
      <alignment horizontal="center"/>
    </xf>
    <xf numFmtId="0" fontId="4" fillId="0" borderId="0" xfId="11" applyFont="1" applyBorder="1" applyAlignment="1"/>
    <xf numFmtId="0" fontId="1" fillId="2" borderId="0" xfId="11" applyFont="1" applyFill="1" applyAlignment="1"/>
    <xf numFmtId="0" fontId="4" fillId="2" borderId="0" xfId="11" applyFont="1" applyFill="1" applyAlignment="1"/>
    <xf numFmtId="0" fontId="1" fillId="0" borderId="0" xfId="11" applyFont="1" applyAlignment="1"/>
    <xf numFmtId="0" fontId="3" fillId="2" borderId="0" xfId="8" applyFont="1" applyFill="1" applyAlignment="1">
      <alignment horizontal="right"/>
    </xf>
    <xf numFmtId="0" fontId="31" fillId="0" borderId="0" xfId="12" applyFont="1" applyFill="1" applyAlignment="1"/>
    <xf numFmtId="0" fontId="4" fillId="8" borderId="0" xfId="8" applyFont="1" applyFill="1" applyAlignment="1"/>
    <xf numFmtId="0" fontId="4" fillId="0" borderId="0" xfId="8" applyFont="1" applyFill="1" applyAlignment="1"/>
    <xf numFmtId="0" fontId="30" fillId="0" borderId="0" xfId="1" applyNumberFormat="1" applyFont="1" applyBorder="1" applyAlignment="1"/>
    <xf numFmtId="0" fontId="4" fillId="0" borderId="0" xfId="11" applyFont="1" applyAlignment="1"/>
    <xf numFmtId="0" fontId="1" fillId="0" borderId="0" xfId="11" applyFont="1" applyFill="1" applyAlignment="1"/>
    <xf numFmtId="0" fontId="0" fillId="0" borderId="0" xfId="0" applyFont="1" applyAlignment="1"/>
    <xf numFmtId="0" fontId="30" fillId="0" borderId="0" xfId="0" applyFont="1"/>
    <xf numFmtId="0" fontId="1" fillId="18" borderId="0" xfId="8" applyFont="1" applyFill="1" applyAlignment="1"/>
    <xf numFmtId="0" fontId="21" fillId="11" borderId="0" xfId="8" applyFont="1" applyFill="1" applyAlignment="1">
      <alignment horizontal="center"/>
    </xf>
    <xf numFmtId="0" fontId="0" fillId="10" borderId="0" xfId="8" applyFont="1" applyFill="1" applyAlignment="1"/>
    <xf numFmtId="0" fontId="1" fillId="10" borderId="0" xfId="8" applyFont="1" applyFill="1" applyAlignment="1"/>
    <xf numFmtId="0" fontId="42" fillId="0" borderId="126" xfId="8" applyFont="1" applyBorder="1" applyAlignment="1">
      <alignment vertical="top" wrapText="1"/>
    </xf>
    <xf numFmtId="0" fontId="1" fillId="0" borderId="126" xfId="8" applyFont="1" applyFill="1" applyBorder="1" applyAlignment="1">
      <alignment wrapText="1"/>
    </xf>
    <xf numFmtId="0" fontId="1" fillId="8" borderId="126" xfId="8" applyFont="1" applyFill="1" applyBorder="1" applyAlignment="1">
      <alignment wrapText="1"/>
    </xf>
    <xf numFmtId="0" fontId="1" fillId="12" borderId="126" xfId="8" applyFont="1" applyFill="1" applyBorder="1" applyAlignment="1">
      <alignment wrapText="1"/>
    </xf>
    <xf numFmtId="0" fontId="1" fillId="4" borderId="126" xfId="14" applyNumberFormat="1" applyFont="1" applyFill="1" applyBorder="1" applyAlignment="1" applyProtection="1">
      <alignment horizontal="center" vertical="top" textRotation="90"/>
    </xf>
    <xf numFmtId="0" fontId="1" fillId="4" borderId="126" xfId="14" applyNumberFormat="1" applyFont="1" applyFill="1" applyBorder="1" applyAlignment="1" applyProtection="1">
      <alignment textRotation="90"/>
    </xf>
    <xf numFmtId="0" fontId="1" fillId="4" borderId="127" xfId="14" applyNumberFormat="1" applyFont="1" applyFill="1" applyBorder="1" applyAlignment="1" applyProtection="1">
      <alignment textRotation="90"/>
    </xf>
    <xf numFmtId="0" fontId="43" fillId="4" borderId="127" xfId="14" applyNumberFormat="1" applyFont="1" applyFill="1" applyBorder="1" applyAlignment="1" applyProtection="1"/>
    <xf numFmtId="0" fontId="44" fillId="4" borderId="128" xfId="14" applyNumberFormat="1" applyFont="1" applyFill="1" applyBorder="1" applyAlignment="1" applyProtection="1">
      <alignment horizontal="center" vertical="top" textRotation="90" wrapText="1"/>
    </xf>
    <xf numFmtId="0" fontId="0" fillId="2" borderId="127" xfId="8" applyFont="1" applyFill="1" applyBorder="1" applyAlignment="1">
      <alignment horizontal="center"/>
    </xf>
    <xf numFmtId="0" fontId="1" fillId="2" borderId="129" xfId="8" applyFont="1" applyFill="1" applyBorder="1" applyAlignment="1">
      <alignment horizontal="center"/>
    </xf>
    <xf numFmtId="0" fontId="0" fillId="2" borderId="129" xfId="8" applyFont="1" applyFill="1" applyBorder="1" applyAlignment="1">
      <alignment horizontal="center"/>
    </xf>
    <xf numFmtId="0" fontId="4" fillId="2" borderId="130" xfId="8" applyFont="1" applyFill="1" applyBorder="1" applyAlignment="1">
      <alignment horizontal="right"/>
    </xf>
    <xf numFmtId="0" fontId="0" fillId="0" borderId="126" xfId="8" applyFont="1" applyBorder="1" applyAlignment="1">
      <alignment horizontal="center"/>
    </xf>
    <xf numFmtId="0" fontId="4" fillId="0" borderId="126" xfId="8" applyFont="1" applyFill="1" applyBorder="1" applyAlignment="1">
      <alignment horizontal="center"/>
    </xf>
    <xf numFmtId="0" fontId="4" fillId="2" borderId="126" xfId="8" applyFont="1" applyFill="1" applyBorder="1" applyAlignment="1">
      <alignment horizontal="right"/>
    </xf>
    <xf numFmtId="0" fontId="41" fillId="0" borderId="126" xfId="9" applyFont="1" applyFill="1" applyBorder="1" applyAlignment="1">
      <alignment horizontal="center"/>
    </xf>
    <xf numFmtId="0" fontId="45" fillId="0" borderId="126" xfId="9" applyFont="1" applyFill="1" applyBorder="1" applyAlignment="1"/>
    <xf numFmtId="0" fontId="1" fillId="8" borderId="126" xfId="8" applyFont="1" applyFill="1" applyBorder="1" applyAlignment="1">
      <alignment horizontal="center"/>
    </xf>
    <xf numFmtId="0" fontId="1" fillId="0" borderId="126" xfId="8" applyFont="1" applyFill="1" applyBorder="1" applyAlignment="1">
      <alignment horizontal="center"/>
    </xf>
    <xf numFmtId="0" fontId="1" fillId="12" borderId="126" xfId="8" applyFont="1" applyFill="1" applyBorder="1" applyAlignment="1">
      <alignment horizontal="center"/>
    </xf>
    <xf numFmtId="0" fontId="33" fillId="4" borderId="126" xfId="11" applyFont="1" applyFill="1" applyBorder="1" applyAlignment="1">
      <alignment horizontal="center"/>
    </xf>
    <xf numFmtId="0" fontId="6" fillId="4" borderId="126" xfId="2" applyFont="1" applyFill="1" applyBorder="1" applyAlignment="1">
      <alignment horizontal="center"/>
    </xf>
    <xf numFmtId="0" fontId="6" fillId="4" borderId="131" xfId="2" applyFont="1" applyFill="1" applyBorder="1" applyAlignment="1">
      <alignment horizontal="center"/>
    </xf>
    <xf numFmtId="0" fontId="1" fillId="4" borderId="132" xfId="14" applyNumberFormat="1" applyFont="1" applyFill="1" applyBorder="1" applyAlignment="1">
      <alignment horizontal="center"/>
    </xf>
    <xf numFmtId="0" fontId="33" fillId="4" borderId="128" xfId="11" applyFont="1" applyFill="1" applyBorder="1" applyAlignment="1">
      <alignment horizontal="center"/>
    </xf>
    <xf numFmtId="0" fontId="46" fillId="0" borderId="126" xfId="8" applyFont="1" applyFill="1" applyBorder="1" applyAlignment="1"/>
    <xf numFmtId="0" fontId="38" fillId="0" borderId="126" xfId="8" applyFont="1" applyBorder="1" applyAlignment="1"/>
    <xf numFmtId="0" fontId="47" fillId="0" borderId="126" xfId="8" applyFont="1" applyFill="1" applyBorder="1" applyAlignment="1"/>
    <xf numFmtId="0" fontId="48" fillId="0" borderId="126" xfId="8" applyFont="1" applyBorder="1" applyAlignment="1">
      <alignment horizontal="center"/>
    </xf>
    <xf numFmtId="0" fontId="49" fillId="0" borderId="126" xfId="8" applyFont="1" applyBorder="1" applyAlignment="1">
      <alignment horizontal="center"/>
    </xf>
    <xf numFmtId="0" fontId="35" fillId="0" borderId="126" xfId="8" applyFont="1" applyBorder="1" applyAlignment="1">
      <alignment horizontal="center"/>
    </xf>
    <xf numFmtId="0" fontId="4" fillId="2" borderId="126" xfId="8" applyFont="1" applyFill="1" applyBorder="1" applyAlignment="1"/>
    <xf numFmtId="0" fontId="4" fillId="0" borderId="126" xfId="8" applyFont="1" applyBorder="1" applyAlignment="1">
      <alignment horizontal="center"/>
    </xf>
    <xf numFmtId="0" fontId="34" fillId="0" borderId="126" xfId="9" applyFont="1" applyFill="1" applyBorder="1" applyAlignment="1">
      <alignment horizontal="center"/>
    </xf>
    <xf numFmtId="0" fontId="48" fillId="0" borderId="126" xfId="9" applyFont="1" applyFill="1" applyBorder="1" applyAlignment="1">
      <alignment horizontal="center"/>
    </xf>
    <xf numFmtId="0" fontId="35" fillId="4" borderId="126" xfId="9" applyFont="1" applyFill="1" applyBorder="1" applyAlignment="1">
      <alignment horizontal="center"/>
    </xf>
    <xf numFmtId="0" fontId="50" fillId="0" borderId="126" xfId="8" applyFont="1" applyFill="1" applyBorder="1" applyAlignment="1">
      <alignment horizontal="center"/>
    </xf>
    <xf numFmtId="0" fontId="16" fillId="0" borderId="126" xfId="8" applyFont="1" applyFill="1" applyBorder="1" applyAlignment="1">
      <alignment horizontal="center"/>
    </xf>
    <xf numFmtId="0" fontId="4" fillId="2" borderId="126" xfId="8" applyFont="1" applyFill="1" applyBorder="1" applyAlignment="1">
      <alignment horizontal="center"/>
    </xf>
    <xf numFmtId="0" fontId="38" fillId="0" borderId="126" xfId="8" applyFont="1" applyFill="1" applyBorder="1" applyAlignment="1">
      <alignment horizontal="center"/>
    </xf>
    <xf numFmtId="0" fontId="38" fillId="0" borderId="126" xfId="12" applyFont="1" applyFill="1" applyBorder="1" applyAlignment="1">
      <alignment horizontal="center"/>
    </xf>
    <xf numFmtId="0" fontId="6" fillId="4" borderId="126" xfId="2" applyFill="1" applyBorder="1" applyAlignment="1">
      <alignment horizontal="center"/>
    </xf>
    <xf numFmtId="0" fontId="51" fillId="4" borderId="126" xfId="11" applyFont="1" applyFill="1" applyBorder="1" applyAlignment="1">
      <alignment horizontal="center"/>
    </xf>
    <xf numFmtId="0" fontId="51" fillId="4" borderId="133" xfId="11" applyFont="1" applyFill="1" applyBorder="1" applyAlignment="1">
      <alignment horizontal="center"/>
    </xf>
    <xf numFmtId="0" fontId="4" fillId="4" borderId="134" xfId="11" applyFont="1" applyFill="1" applyBorder="1" applyAlignment="1">
      <alignment horizontal="center"/>
    </xf>
    <xf numFmtId="0" fontId="6" fillId="4" borderId="128" xfId="2" applyFill="1" applyBorder="1" applyAlignment="1">
      <alignment horizontal="center"/>
    </xf>
    <xf numFmtId="0" fontId="1" fillId="0" borderId="106" xfId="8" applyFont="1" applyFill="1" applyBorder="1" applyAlignment="1">
      <alignment textRotation="90"/>
    </xf>
    <xf numFmtId="0" fontId="1" fillId="0" borderId="0" xfId="8" applyFont="1" applyFill="1" applyBorder="1" applyAlignment="1">
      <alignment textRotation="90"/>
    </xf>
    <xf numFmtId="0" fontId="1" fillId="0" borderId="0" xfId="8" applyFont="1" applyFill="1" applyAlignment="1">
      <alignment textRotation="90"/>
    </xf>
    <xf numFmtId="0" fontId="16" fillId="0" borderId="126" xfId="8" applyFont="1" applyFill="1" applyBorder="1" applyAlignment="1"/>
    <xf numFmtId="0" fontId="38" fillId="0" borderId="126" xfId="8" applyFont="1" applyFill="1" applyBorder="1" applyAlignment="1"/>
    <xf numFmtId="0" fontId="50" fillId="0" borderId="126" xfId="8" applyFont="1" applyFill="1" applyBorder="1" applyAlignment="1"/>
    <xf numFmtId="0" fontId="48" fillId="0" borderId="126" xfId="8" applyFont="1" applyFill="1" applyBorder="1" applyAlignment="1"/>
    <xf numFmtId="0" fontId="49" fillId="0" borderId="126" xfId="8" applyFont="1" applyFill="1" applyBorder="1" applyAlignment="1"/>
    <xf numFmtId="0" fontId="35" fillId="0" borderId="126" xfId="8" applyFont="1" applyFill="1" applyBorder="1" applyAlignment="1"/>
    <xf numFmtId="0" fontId="38" fillId="0" borderId="126" xfId="8" applyFont="1" applyFill="1" applyBorder="1" applyAlignment="1">
      <alignment horizontal="right"/>
    </xf>
    <xf numFmtId="0" fontId="1" fillId="0" borderId="126" xfId="8" applyFont="1" applyFill="1" applyBorder="1" applyAlignment="1"/>
    <xf numFmtId="0" fontId="34" fillId="0" borderId="126" xfId="10" applyFont="1" applyFill="1" applyBorder="1" applyAlignment="1">
      <alignment horizontal="center"/>
    </xf>
    <xf numFmtId="0" fontId="48" fillId="0" borderId="126" xfId="10" applyFont="1" applyFill="1" applyBorder="1" applyAlignment="1">
      <alignment horizontal="center"/>
    </xf>
    <xf numFmtId="0" fontId="1" fillId="4" borderId="126" xfId="10" applyFont="1" applyFill="1" applyBorder="1" applyAlignment="1">
      <alignment horizontal="center"/>
    </xf>
    <xf numFmtId="0" fontId="50" fillId="0" borderId="126" xfId="10" applyFont="1" applyFill="1" applyBorder="1" applyAlignment="1">
      <alignment horizontal="center"/>
    </xf>
    <xf numFmtId="0" fontId="16" fillId="0" borderId="126" xfId="10" applyFont="1" applyFill="1" applyBorder="1" applyAlignment="1">
      <alignment horizontal="center"/>
    </xf>
    <xf numFmtId="0" fontId="4" fillId="2" borderId="126" xfId="8" applyNumberFormat="1" applyFont="1" applyFill="1" applyBorder="1" applyAlignment="1">
      <alignment horizontal="center"/>
    </xf>
    <xf numFmtId="0" fontId="38" fillId="0" borderId="126" xfId="10" applyFont="1" applyFill="1" applyBorder="1" applyAlignment="1">
      <alignment horizontal="center"/>
    </xf>
    <xf numFmtId="0" fontId="38" fillId="12" borderId="126" xfId="10" applyFont="1" applyFill="1" applyBorder="1" applyAlignment="1">
      <alignment horizontal="center"/>
    </xf>
    <xf numFmtId="0" fontId="1" fillId="0" borderId="126" xfId="11" applyFont="1" applyFill="1" applyBorder="1" applyAlignment="1">
      <alignment horizontal="center"/>
    </xf>
    <xf numFmtId="0" fontId="52" fillId="0" borderId="126" xfId="8" applyFont="1" applyFill="1" applyBorder="1" applyAlignment="1">
      <alignment horizontal="center"/>
    </xf>
    <xf numFmtId="0" fontId="1" fillId="0" borderId="127" xfId="8" applyFont="1" applyFill="1" applyBorder="1" applyAlignment="1">
      <alignment horizontal="center"/>
    </xf>
    <xf numFmtId="167" fontId="34" fillId="0" borderId="128" xfId="8" applyNumberFormat="1" applyFont="1" applyFill="1" applyBorder="1" applyAlignment="1">
      <alignment horizontal="center"/>
    </xf>
    <xf numFmtId="166" fontId="1" fillId="0" borderId="0" xfId="8" applyNumberFormat="1" applyFont="1" applyFill="1" applyBorder="1" applyAlignment="1">
      <alignment horizontal="center"/>
    </xf>
    <xf numFmtId="166" fontId="1" fillId="0" borderId="0" xfId="8" applyNumberFormat="1" applyFont="1" applyFill="1" applyAlignment="1">
      <alignment horizontal="center"/>
    </xf>
    <xf numFmtId="0" fontId="53" fillId="0" borderId="0" xfId="8" applyNumberFormat="1" applyFont="1" applyFill="1" applyAlignment="1"/>
    <xf numFmtId="0" fontId="52" fillId="0" borderId="0" xfId="8" applyNumberFormat="1" applyFont="1" applyFill="1" applyAlignment="1"/>
    <xf numFmtId="0" fontId="0" fillId="0" borderId="126" xfId="8" applyFont="1" applyFill="1" applyBorder="1" applyAlignment="1"/>
    <xf numFmtId="0" fontId="0" fillId="0" borderId="126" xfId="7" applyFont="1" applyFill="1" applyBorder="1" applyAlignment="1"/>
    <xf numFmtId="0" fontId="1" fillId="0" borderId="126" xfId="7" applyFont="1" applyFill="1" applyBorder="1" applyAlignment="1"/>
    <xf numFmtId="0" fontId="0" fillId="4" borderId="126" xfId="10" applyFont="1" applyFill="1" applyBorder="1" applyAlignment="1">
      <alignment horizontal="center"/>
    </xf>
    <xf numFmtId="0" fontId="4" fillId="2" borderId="135" xfId="8" applyFont="1" applyFill="1" applyBorder="1" applyAlignment="1">
      <alignment horizontal="right"/>
    </xf>
    <xf numFmtId="0" fontId="1" fillId="0" borderId="135" xfId="8" applyFont="1" applyFill="1" applyBorder="1" applyAlignment="1"/>
    <xf numFmtId="0" fontId="34" fillId="0" borderId="135" xfId="10" applyFont="1" applyFill="1" applyBorder="1" applyAlignment="1">
      <alignment horizontal="center"/>
    </xf>
    <xf numFmtId="0" fontId="48" fillId="0" borderId="135" xfId="10" applyFont="1" applyFill="1" applyBorder="1" applyAlignment="1">
      <alignment horizontal="center"/>
    </xf>
    <xf numFmtId="0" fontId="1" fillId="4" borderId="135" xfId="10" applyFont="1" applyFill="1" applyBorder="1" applyAlignment="1">
      <alignment horizontal="center"/>
    </xf>
    <xf numFmtId="0" fontId="50" fillId="0" borderId="135" xfId="10" applyFont="1" applyFill="1" applyBorder="1" applyAlignment="1">
      <alignment horizontal="center"/>
    </xf>
    <xf numFmtId="0" fontId="16" fillId="0" borderId="135" xfId="10" applyFont="1" applyFill="1" applyBorder="1" applyAlignment="1">
      <alignment horizontal="center"/>
    </xf>
    <xf numFmtId="0" fontId="38" fillId="0" borderId="135" xfId="10" applyFont="1" applyFill="1" applyBorder="1" applyAlignment="1">
      <alignment horizontal="center"/>
    </xf>
    <xf numFmtId="0" fontId="38" fillId="12" borderId="135" xfId="10" applyFont="1" applyFill="1" applyBorder="1" applyAlignment="1">
      <alignment horizontal="center"/>
    </xf>
    <xf numFmtId="0" fontId="1" fillId="0" borderId="0" xfId="8" applyFont="1" applyFill="1" applyBorder="1" applyAlignment="1"/>
    <xf numFmtId="0" fontId="4" fillId="2" borderId="136" xfId="8" applyFont="1" applyFill="1" applyBorder="1" applyAlignment="1">
      <alignment horizontal="right"/>
    </xf>
    <xf numFmtId="0" fontId="0" fillId="0" borderId="136" xfId="7" applyFont="1" applyFill="1" applyBorder="1" applyAlignment="1"/>
    <xf numFmtId="0" fontId="34" fillId="0" borderId="136" xfId="10" applyFont="1" applyFill="1" applyBorder="1" applyAlignment="1">
      <alignment horizontal="center"/>
    </xf>
    <xf numFmtId="0" fontId="48" fillId="0" borderId="136" xfId="10" applyFont="1" applyFill="1" applyBorder="1" applyAlignment="1">
      <alignment horizontal="center"/>
    </xf>
    <xf numFmtId="0" fontId="1" fillId="4" borderId="136" xfId="10" applyFont="1" applyFill="1" applyBorder="1" applyAlignment="1">
      <alignment horizontal="center"/>
    </xf>
    <xf numFmtId="0" fontId="50" fillId="0" borderId="136" xfId="10" applyFont="1" applyFill="1" applyBorder="1" applyAlignment="1">
      <alignment horizontal="center"/>
    </xf>
    <xf numFmtId="0" fontId="38" fillId="0" borderId="136" xfId="10" applyFont="1" applyFill="1" applyBorder="1" applyAlignment="1">
      <alignment horizontal="center"/>
    </xf>
    <xf numFmtId="0" fontId="38" fillId="12" borderId="136" xfId="10" applyFont="1" applyFill="1" applyBorder="1" applyAlignment="1">
      <alignment horizontal="center"/>
    </xf>
    <xf numFmtId="0" fontId="50" fillId="11" borderId="126" xfId="10" applyFont="1" applyFill="1" applyBorder="1" applyAlignment="1">
      <alignment horizontal="center"/>
    </xf>
    <xf numFmtId="0" fontId="34" fillId="9" borderId="126" xfId="10" applyFont="1" applyFill="1" applyBorder="1" applyAlignment="1">
      <alignment horizontal="center"/>
    </xf>
    <xf numFmtId="0" fontId="16" fillId="11" borderId="126" xfId="10" applyFont="1" applyFill="1" applyBorder="1" applyAlignment="1">
      <alignment horizontal="center"/>
    </xf>
    <xf numFmtId="0" fontId="16" fillId="2" borderId="0" xfId="8" applyFont="1" applyFill="1" applyAlignment="1"/>
    <xf numFmtId="0" fontId="4" fillId="2" borderId="0" xfId="8" applyFont="1" applyFill="1" applyAlignment="1"/>
    <xf numFmtId="0" fontId="50" fillId="2" borderId="0" xfId="8" applyFont="1" applyFill="1" applyAlignment="1"/>
    <xf numFmtId="0" fontId="48" fillId="2" borderId="0" xfId="8" applyFont="1" applyFill="1" applyAlignment="1"/>
    <xf numFmtId="0" fontId="34" fillId="2" borderId="0" xfId="8" applyFont="1" applyFill="1" applyAlignment="1"/>
    <xf numFmtId="0" fontId="35" fillId="2" borderId="0" xfId="8" applyFont="1" applyFill="1" applyAlignment="1"/>
    <xf numFmtId="0" fontId="1" fillId="2" borderId="0" xfId="8" applyFont="1" applyFill="1" applyAlignment="1">
      <alignment horizontal="right"/>
    </xf>
    <xf numFmtId="0" fontId="4" fillId="2" borderId="0" xfId="8" applyFont="1" applyFill="1" applyAlignment="1">
      <alignment horizontal="center"/>
    </xf>
    <xf numFmtId="166" fontId="1" fillId="2" borderId="0" xfId="8" applyNumberFormat="1" applyFont="1" applyFill="1" applyAlignment="1">
      <alignment horizontal="center"/>
    </xf>
    <xf numFmtId="166" fontId="31" fillId="2" borderId="137" xfId="8" applyNumberFormat="1" applyFont="1" applyFill="1" applyBorder="1" applyAlignment="1">
      <alignment horizontal="center"/>
    </xf>
    <xf numFmtId="166" fontId="1" fillId="2" borderId="0" xfId="8" applyNumberFormat="1" applyFont="1" applyFill="1" applyAlignment="1"/>
    <xf numFmtId="1" fontId="1" fillId="2" borderId="0" xfId="8" applyNumberFormat="1" applyFont="1" applyFill="1" applyAlignment="1">
      <alignment horizontal="center"/>
    </xf>
    <xf numFmtId="1" fontId="31" fillId="2" borderId="0" xfId="8" applyNumberFormat="1" applyFont="1" applyFill="1" applyBorder="1" applyAlignment="1">
      <alignment horizontal="center"/>
    </xf>
    <xf numFmtId="0" fontId="4" fillId="0" borderId="0" xfId="8" applyFont="1" applyFill="1" applyAlignment="1">
      <alignment horizontal="center"/>
    </xf>
    <xf numFmtId="0" fontId="0" fillId="0" borderId="0" xfId="0" applyAlignment="1">
      <alignment horizontal="right"/>
    </xf>
    <xf numFmtId="0" fontId="0" fillId="0" borderId="1" xfId="0" applyBorder="1" applyAlignment="1">
      <alignment horizontal="center"/>
    </xf>
    <xf numFmtId="0" fontId="0" fillId="8" borderId="0" xfId="0" applyFill="1"/>
    <xf numFmtId="0" fontId="1" fillId="8" borderId="1" xfId="9" applyFont="1" applyFill="1" applyBorder="1" applyAlignment="1">
      <alignment horizontal="center"/>
    </xf>
    <xf numFmtId="0" fontId="0" fillId="8" borderId="1" xfId="0" applyFill="1" applyBorder="1" applyAlignment="1">
      <alignment horizontal="center"/>
    </xf>
    <xf numFmtId="0" fontId="21" fillId="11" borderId="0" xfId="0" applyFont="1" applyFill="1"/>
    <xf numFmtId="0" fontId="1" fillId="0" borderId="0" xfId="7" applyFont="1"/>
    <xf numFmtId="0" fontId="1" fillId="0" borderId="0" xfId="7" applyFont="1" applyFill="1"/>
    <xf numFmtId="0" fontId="6" fillId="0" borderId="0" xfId="2" applyFill="1" applyAlignment="1">
      <alignment horizontal="center"/>
    </xf>
    <xf numFmtId="0" fontId="1" fillId="0" borderId="0" xfId="7" applyFont="1" applyFill="1" applyAlignment="1"/>
    <xf numFmtId="0" fontId="1" fillId="0" borderId="0" xfId="7" applyFont="1" applyFill="1" applyBorder="1" applyAlignment="1"/>
    <xf numFmtId="0" fontId="1" fillId="0" borderId="0" xfId="7" applyFont="1" applyBorder="1"/>
    <xf numFmtId="0" fontId="1" fillId="2" borderId="0" xfId="7" applyFont="1" applyFill="1"/>
    <xf numFmtId="0" fontId="1" fillId="0" borderId="0" xfId="1" applyFont="1"/>
    <xf numFmtId="0" fontId="30" fillId="0" borderId="0" xfId="7" applyFont="1" applyAlignment="1">
      <alignment horizontal="right"/>
    </xf>
    <xf numFmtId="0" fontId="1" fillId="4" borderId="0" xfId="7" applyFont="1" applyFill="1"/>
    <xf numFmtId="0" fontId="0" fillId="4" borderId="0" xfId="0" applyFont="1" applyFill="1" applyAlignment="1">
      <alignment horizontal="right"/>
    </xf>
    <xf numFmtId="0" fontId="0" fillId="0" borderId="0" xfId="0" applyFont="1" applyAlignment="1">
      <alignment horizontal="center"/>
    </xf>
    <xf numFmtId="0" fontId="0" fillId="0" borderId="0" xfId="7" applyFont="1"/>
    <xf numFmtId="0" fontId="1" fillId="8" borderId="0" xfId="7" applyFont="1" applyFill="1"/>
    <xf numFmtId="0" fontId="0" fillId="8" borderId="0" xfId="0" applyFont="1" applyFill="1" applyAlignment="1">
      <alignment horizontal="right"/>
    </xf>
    <xf numFmtId="0" fontId="21" fillId="0" borderId="0" xfId="7" applyFont="1"/>
    <xf numFmtId="0" fontId="1" fillId="21" borderId="0" xfId="7" applyFont="1" applyFill="1"/>
    <xf numFmtId="0" fontId="0" fillId="21" borderId="0" xfId="0" applyFont="1" applyFill="1" applyAlignment="1">
      <alignment horizontal="right"/>
    </xf>
    <xf numFmtId="0" fontId="4" fillId="4" borderId="138" xfId="7" applyFont="1" applyFill="1" applyBorder="1" applyAlignment="1">
      <alignment horizontal="center"/>
    </xf>
    <xf numFmtId="0" fontId="1" fillId="0" borderId="138" xfId="7" applyFont="1" applyBorder="1"/>
    <xf numFmtId="0" fontId="1" fillId="0" borderId="138" xfId="7" applyFont="1" applyBorder="1" applyAlignment="1"/>
    <xf numFmtId="0" fontId="0" fillId="0" borderId="138" xfId="7" applyFont="1" applyBorder="1" applyAlignment="1"/>
    <xf numFmtId="0" fontId="4" fillId="0" borderId="138" xfId="7" applyFont="1" applyBorder="1" applyAlignment="1">
      <alignment horizontal="center"/>
    </xf>
    <xf numFmtId="0" fontId="4" fillId="0" borderId="138" xfId="7" applyFont="1" applyFill="1" applyBorder="1" applyAlignment="1">
      <alignment horizontal="center"/>
    </xf>
    <xf numFmtId="0" fontId="4" fillId="0" borderId="138" xfId="6" applyFont="1" applyBorder="1" applyAlignment="1">
      <alignment horizontal="center"/>
    </xf>
    <xf numFmtId="0" fontId="4" fillId="0" borderId="1" xfId="0" applyFont="1" applyBorder="1" applyAlignment="1">
      <alignment horizontal="center"/>
    </xf>
    <xf numFmtId="0" fontId="4" fillId="0" borderId="122" xfId="0" applyFont="1" applyBorder="1" applyAlignment="1"/>
    <xf numFmtId="0" fontId="4" fillId="0" borderId="123" xfId="0" applyFont="1" applyBorder="1" applyAlignment="1"/>
    <xf numFmtId="0" fontId="4" fillId="0" borderId="124" xfId="0" applyFont="1" applyBorder="1" applyAlignment="1"/>
    <xf numFmtId="0" fontId="4" fillId="0" borderId="1" xfId="0" applyFont="1" applyBorder="1" applyAlignment="1"/>
    <xf numFmtId="0" fontId="4" fillId="0" borderId="123" xfId="7" applyFont="1" applyBorder="1" applyAlignment="1">
      <alignment horizontal="center"/>
    </xf>
    <xf numFmtId="0" fontId="1" fillId="0" borderId="124" xfId="7" applyFont="1" applyBorder="1"/>
    <xf numFmtId="0" fontId="1" fillId="0" borderId="138" xfId="6" applyFont="1" applyBorder="1" applyAlignment="1"/>
    <xf numFmtId="0" fontId="4" fillId="0" borderId="1" xfId="0" applyFont="1" applyBorder="1" applyAlignment="1">
      <alignment vertical="center"/>
    </xf>
    <xf numFmtId="0" fontId="0" fillId="0" borderId="1" xfId="7" applyFont="1" applyFill="1" applyBorder="1" applyAlignment="1">
      <alignment vertical="center" wrapText="1"/>
    </xf>
    <xf numFmtId="0" fontId="0" fillId="0" borderId="122" xfId="0" applyNumberFormat="1" applyFont="1" applyFill="1" applyBorder="1" applyAlignment="1">
      <alignment horizontal="center" vertical="center"/>
    </xf>
    <xf numFmtId="49" fontId="0" fillId="0" borderId="123" xfId="0" applyNumberFormat="1" applyFont="1" applyFill="1" applyBorder="1" applyAlignment="1">
      <alignment horizontal="center" vertical="center"/>
    </xf>
    <xf numFmtId="0" fontId="0" fillId="0" borderId="123" xfId="0" applyNumberFormat="1" applyFont="1" applyFill="1" applyBorder="1" applyAlignment="1">
      <alignment horizontal="center" vertical="center"/>
    </xf>
    <xf numFmtId="0" fontId="0" fillId="0" borderId="123" xfId="0" applyNumberFormat="1" applyFill="1" applyBorder="1" applyAlignment="1">
      <alignment vertical="center"/>
    </xf>
    <xf numFmtId="0" fontId="4" fillId="0" borderId="1" xfId="0" applyNumberFormat="1" applyFont="1" applyFill="1" applyBorder="1" applyAlignment="1">
      <alignment horizontal="center" vertical="center"/>
    </xf>
    <xf numFmtId="0" fontId="4" fillId="0" borderId="122" xfId="0" applyNumberFormat="1" applyFont="1" applyFill="1" applyBorder="1" applyAlignment="1">
      <alignment horizontal="center" vertical="center"/>
    </xf>
    <xf numFmtId="0" fontId="0" fillId="0" borderId="124" xfId="0" applyNumberFormat="1" applyFont="1" applyFill="1" applyBorder="1" applyAlignment="1">
      <alignment horizontal="center" vertical="center"/>
    </xf>
    <xf numFmtId="168" fontId="1" fillId="0" borderId="0" xfId="7" applyNumberFormat="1" applyFont="1" applyFill="1" applyAlignment="1">
      <alignment vertical="center"/>
    </xf>
    <xf numFmtId="168" fontId="0" fillId="0" borderId="0" xfId="0" applyNumberFormat="1" applyFill="1"/>
    <xf numFmtId="0" fontId="0" fillId="0" borderId="1" xfId="7" applyFont="1" applyBorder="1" applyAlignment="1">
      <alignment vertical="center" wrapText="1"/>
    </xf>
    <xf numFmtId="0" fontId="1" fillId="0" borderId="0" xfId="7" applyFont="1" applyAlignment="1">
      <alignment horizontal="right"/>
    </xf>
    <xf numFmtId="0" fontId="0" fillId="0" borderId="0" xfId="7" applyFont="1" applyAlignment="1">
      <alignment horizontal="right"/>
    </xf>
    <xf numFmtId="0" fontId="4" fillId="0" borderId="1" xfId="8" applyFont="1" applyBorder="1" applyAlignment="1">
      <alignment vertical="center"/>
    </xf>
    <xf numFmtId="0" fontId="1" fillId="0" borderId="1" xfId="6" applyFont="1" applyFill="1" applyBorder="1" applyAlignment="1">
      <alignment vertical="center" wrapText="1"/>
    </xf>
    <xf numFmtId="0" fontId="1" fillId="0" borderId="0" xfId="7" applyFont="1" applyAlignment="1">
      <alignment vertical="center"/>
    </xf>
    <xf numFmtId="0" fontId="1" fillId="0" borderId="0" xfId="6" applyFont="1"/>
    <xf numFmtId="20" fontId="1" fillId="0" borderId="0" xfId="7" applyNumberFormat="1" applyFont="1"/>
    <xf numFmtId="0" fontId="30" fillId="0" borderId="0" xfId="11" applyFont="1" applyBorder="1" applyAlignment="1"/>
    <xf numFmtId="0" fontId="1" fillId="10" borderId="1" xfId="8" applyNumberFormat="1" applyFont="1" applyFill="1" applyBorder="1" applyAlignment="1"/>
    <xf numFmtId="0" fontId="33" fillId="10" borderId="1" xfId="5" applyFont="1" applyFill="1" applyBorder="1" applyAlignment="1">
      <alignment horizontal="center"/>
    </xf>
    <xf numFmtId="0" fontId="6" fillId="10" borderId="1" xfId="2" applyFill="1" applyBorder="1" applyAlignment="1">
      <alignment horizontal="center"/>
    </xf>
    <xf numFmtId="0" fontId="4" fillId="0" borderId="138" xfId="6" applyFont="1" applyBorder="1" applyAlignment="1">
      <alignment horizontal="center" vertical="center"/>
    </xf>
    <xf numFmtId="0" fontId="1" fillId="2" borderId="138" xfId="7" applyFont="1" applyFill="1" applyBorder="1" applyAlignment="1">
      <alignment horizontal="center" vertical="center"/>
    </xf>
    <xf numFmtId="0" fontId="1" fillId="2" borderId="138" xfId="7" applyFont="1" applyFill="1" applyBorder="1" applyAlignment="1">
      <alignment vertical="center"/>
    </xf>
    <xf numFmtId="0" fontId="0" fillId="0" borderId="0" xfId="0" applyAlignment="1">
      <alignment vertical="center"/>
    </xf>
    <xf numFmtId="0" fontId="17" fillId="0" borderId="0" xfId="7" applyFont="1"/>
    <xf numFmtId="0" fontId="0" fillId="0" borderId="122" xfId="0" applyBorder="1"/>
    <xf numFmtId="0" fontId="1" fillId="0" borderId="1" xfId="7" applyFont="1" applyBorder="1"/>
    <xf numFmtId="0" fontId="4" fillId="0" borderId="123" xfId="7" applyFont="1" applyBorder="1"/>
    <xf numFmtId="0" fontId="4" fillId="0" borderId="1" xfId="7" applyFont="1" applyBorder="1" applyAlignment="1">
      <alignment horizontal="center"/>
    </xf>
    <xf numFmtId="0" fontId="0" fillId="0" borderId="122" xfId="7" applyFont="1" applyBorder="1"/>
    <xf numFmtId="0" fontId="1" fillId="0" borderId="123" xfId="7" applyFont="1" applyBorder="1"/>
    <xf numFmtId="0" fontId="4" fillId="0" borderId="124" xfId="0" applyFont="1" applyBorder="1" applyAlignment="1">
      <alignment horizontal="right"/>
    </xf>
    <xf numFmtId="0" fontId="4" fillId="0" borderId="122" xfId="7" applyFont="1" applyBorder="1"/>
    <xf numFmtId="0" fontId="1" fillId="22" borderId="123" xfId="7" applyFont="1" applyFill="1" applyBorder="1"/>
    <xf numFmtId="0" fontId="1" fillId="0" borderId="1" xfId="7" applyFont="1" applyBorder="1" applyAlignment="1">
      <alignment horizontal="center"/>
    </xf>
    <xf numFmtId="0" fontId="1" fillId="0" borderId="122" xfId="7" applyFont="1" applyBorder="1"/>
    <xf numFmtId="0" fontId="4" fillId="0" borderId="124" xfId="0" applyFont="1" applyBorder="1"/>
    <xf numFmtId="0" fontId="4" fillId="0" borderId="0" xfId="7" applyFont="1" applyAlignment="1">
      <alignment horizontal="right"/>
    </xf>
    <xf numFmtId="0" fontId="1" fillId="22" borderId="1" xfId="7" applyFont="1" applyFill="1" applyBorder="1" applyAlignment="1">
      <alignment horizontal="center"/>
    </xf>
    <xf numFmtId="0" fontId="1" fillId="22" borderId="1" xfId="7" applyFont="1" applyFill="1" applyBorder="1"/>
    <xf numFmtId="0" fontId="4" fillId="0" borderId="124" xfId="7" applyFont="1" applyBorder="1"/>
    <xf numFmtId="0" fontId="0" fillId="0" borderId="0" xfId="7" applyFont="1" applyAlignment="1"/>
    <xf numFmtId="0" fontId="1" fillId="5" borderId="122" xfId="7" applyFont="1" applyFill="1" applyBorder="1"/>
    <xf numFmtId="0" fontId="1" fillId="5" borderId="123" xfId="7" applyFont="1" applyFill="1" applyBorder="1"/>
    <xf numFmtId="0" fontId="1" fillId="5" borderId="124" xfId="7" applyFont="1" applyFill="1" applyBorder="1"/>
    <xf numFmtId="0" fontId="0" fillId="5" borderId="0" xfId="7" applyFont="1" applyFill="1" applyAlignment="1">
      <alignment horizontal="center"/>
    </xf>
    <xf numFmtId="0" fontId="1" fillId="20" borderId="123" xfId="7" applyFont="1" applyFill="1" applyBorder="1"/>
    <xf numFmtId="0" fontId="4" fillId="20" borderId="1" xfId="7" applyFont="1" applyFill="1" applyBorder="1" applyAlignment="1">
      <alignment horizontal="center"/>
    </xf>
    <xf numFmtId="168" fontId="1" fillId="20" borderId="0" xfId="7" applyNumberFormat="1" applyFont="1" applyFill="1" applyAlignment="1">
      <alignment horizontal="center" vertical="center"/>
    </xf>
    <xf numFmtId="0" fontId="1" fillId="20" borderId="1" xfId="7" applyFont="1" applyFill="1" applyBorder="1" applyAlignment="1">
      <alignment horizontal="center"/>
    </xf>
    <xf numFmtId="0" fontId="4" fillId="20" borderId="123" xfId="7" applyFont="1" applyFill="1" applyBorder="1"/>
    <xf numFmtId="0" fontId="4" fillId="5" borderId="123" xfId="7" applyFont="1" applyFill="1" applyBorder="1"/>
    <xf numFmtId="0" fontId="1" fillId="22" borderId="122" xfId="7" applyFont="1" applyFill="1" applyBorder="1"/>
    <xf numFmtId="0" fontId="1" fillId="22" borderId="124" xfId="7" applyFont="1" applyFill="1" applyBorder="1"/>
    <xf numFmtId="0" fontId="4" fillId="0" borderId="0" xfId="6" applyFont="1"/>
    <xf numFmtId="0" fontId="6" fillId="0" borderId="0" xfId="2"/>
    <xf numFmtId="0" fontId="1" fillId="0" borderId="139" xfId="10" applyFont="1" applyBorder="1" applyAlignment="1"/>
    <xf numFmtId="0" fontId="4" fillId="0" borderId="139" xfId="10" applyFont="1" applyBorder="1" applyAlignment="1">
      <alignment horizontal="center"/>
    </xf>
    <xf numFmtId="0" fontId="1" fillId="0" borderId="140" xfId="10" applyFont="1" applyBorder="1" applyAlignment="1"/>
    <xf numFmtId="0" fontId="1" fillId="0" borderId="141" xfId="10" applyFont="1" applyBorder="1" applyAlignment="1"/>
    <xf numFmtId="0" fontId="1" fillId="0" borderId="142" xfId="10" applyFont="1" applyBorder="1" applyAlignment="1"/>
    <xf numFmtId="0" fontId="1" fillId="0" borderId="139" xfId="10" applyFont="1" applyFill="1" applyBorder="1" applyAlignment="1"/>
    <xf numFmtId="0" fontId="4" fillId="0" borderId="139" xfId="8" applyFont="1" applyBorder="1" applyAlignment="1"/>
    <xf numFmtId="0" fontId="4" fillId="0" borderId="141" xfId="8" applyFont="1" applyBorder="1" applyAlignment="1">
      <alignment horizontal="center"/>
    </xf>
    <xf numFmtId="0" fontId="4" fillId="0" borderId="143" xfId="8" applyFont="1" applyBorder="1" applyAlignment="1">
      <alignment horizontal="center"/>
    </xf>
    <xf numFmtId="0" fontId="4" fillId="0" borderId="144" xfId="8" applyFont="1" applyBorder="1" applyAlignment="1">
      <alignment horizontal="center"/>
    </xf>
    <xf numFmtId="0" fontId="4" fillId="0" borderId="145" xfId="8" applyFont="1" applyBorder="1" applyAlignment="1">
      <alignment horizontal="center"/>
    </xf>
    <xf numFmtId="0" fontId="4" fillId="0" borderId="141" xfId="8" applyFont="1" applyFill="1" applyBorder="1" applyAlignment="1">
      <alignment horizontal="center"/>
    </xf>
    <xf numFmtId="0" fontId="4" fillId="0" borderId="139" xfId="8" applyFont="1" applyFill="1" applyBorder="1" applyAlignment="1">
      <alignment horizontal="center"/>
    </xf>
    <xf numFmtId="0" fontId="1" fillId="0" borderId="146" xfId="8" applyFont="1" applyBorder="1" applyAlignment="1"/>
    <xf numFmtId="0" fontId="4" fillId="0" borderId="147" xfId="8" applyFont="1" applyBorder="1" applyAlignment="1"/>
    <xf numFmtId="0" fontId="1" fillId="0" borderId="147" xfId="8" applyFont="1" applyBorder="1" applyAlignment="1">
      <alignment horizontal="center"/>
    </xf>
    <xf numFmtId="0" fontId="1" fillId="0" borderId="148" xfId="8" applyFont="1" applyBorder="1" applyAlignment="1">
      <alignment horizontal="center"/>
    </xf>
    <xf numFmtId="0" fontId="1" fillId="0" borderId="149" xfId="8" applyFont="1" applyBorder="1" applyAlignment="1">
      <alignment horizontal="center"/>
    </xf>
    <xf numFmtId="0" fontId="1" fillId="0" borderId="146" xfId="8" applyFont="1" applyFill="1" applyBorder="1" applyAlignment="1">
      <alignment horizontal="center"/>
    </xf>
    <xf numFmtId="0" fontId="1" fillId="2" borderId="150" xfId="8" applyFont="1" applyFill="1" applyBorder="1" applyAlignment="1"/>
    <xf numFmtId="0" fontId="0" fillId="2" borderId="151" xfId="8" applyFont="1" applyFill="1" applyBorder="1" applyAlignment="1"/>
    <xf numFmtId="0" fontId="1" fillId="2" borderId="151" xfId="10" applyFont="1" applyFill="1" applyBorder="1" applyAlignment="1">
      <alignment horizontal="center"/>
    </xf>
    <xf numFmtId="0" fontId="1" fillId="2" borderId="1" xfId="10" applyFont="1" applyFill="1" applyBorder="1" applyAlignment="1">
      <alignment horizontal="center"/>
    </xf>
    <xf numFmtId="0" fontId="1" fillId="2" borderId="122" xfId="10" applyFont="1" applyFill="1" applyBorder="1" applyAlignment="1">
      <alignment horizontal="center"/>
    </xf>
    <xf numFmtId="0" fontId="1" fillId="2" borderId="150" xfId="10" applyFont="1" applyFill="1" applyBorder="1" applyAlignment="1">
      <alignment horizontal="center"/>
    </xf>
    <xf numFmtId="0" fontId="1" fillId="0" borderId="150" xfId="8" applyFont="1" applyBorder="1" applyAlignment="1"/>
    <xf numFmtId="0" fontId="0" fillId="0" borderId="126" xfId="10" applyFont="1" applyBorder="1" applyAlignment="1">
      <alignment horizontal="left"/>
    </xf>
    <xf numFmtId="0" fontId="1" fillId="0" borderId="151" xfId="10" applyFont="1" applyFill="1" applyBorder="1" applyAlignment="1">
      <alignment horizontal="center"/>
    </xf>
    <xf numFmtId="0" fontId="1" fillId="0" borderId="1" xfId="10" applyFont="1" applyFill="1" applyBorder="1" applyAlignment="1">
      <alignment horizontal="center"/>
    </xf>
    <xf numFmtId="0" fontId="1" fillId="0" borderId="122" xfId="10" applyFont="1" applyFill="1" applyBorder="1" applyAlignment="1">
      <alignment horizontal="center"/>
    </xf>
    <xf numFmtId="0" fontId="1" fillId="0" borderId="150" xfId="10" applyFont="1" applyFill="1" applyBorder="1" applyAlignment="1">
      <alignment horizontal="center"/>
    </xf>
    <xf numFmtId="0" fontId="0" fillId="0" borderId="126" xfId="10" applyFont="1" applyBorder="1" applyAlignment="1"/>
    <xf numFmtId="0" fontId="0" fillId="2" borderId="151" xfId="10" applyFont="1" applyFill="1" applyBorder="1" applyAlignment="1"/>
    <xf numFmtId="0" fontId="0" fillId="0" borderId="152" xfId="10" applyFont="1" applyBorder="1" applyAlignment="1"/>
    <xf numFmtId="0" fontId="0" fillId="0" borderId="4" xfId="10" applyFont="1" applyBorder="1" applyAlignment="1"/>
    <xf numFmtId="0" fontId="1" fillId="0" borderId="153" xfId="8" applyFont="1" applyBorder="1" applyAlignment="1"/>
    <xf numFmtId="0" fontId="0" fillId="0" borderId="154" xfId="10" applyFont="1" applyBorder="1" applyAlignment="1"/>
    <xf numFmtId="0" fontId="1" fillId="0" borderId="155" xfId="10" applyFont="1" applyFill="1" applyBorder="1" applyAlignment="1">
      <alignment horizontal="center"/>
    </xf>
    <xf numFmtId="0" fontId="1" fillId="0" borderId="156" xfId="10" applyFont="1" applyFill="1" applyBorder="1" applyAlignment="1">
      <alignment horizontal="center"/>
    </xf>
    <xf numFmtId="0" fontId="1" fillId="0" borderId="157" xfId="10" applyFont="1" applyFill="1" applyBorder="1" applyAlignment="1">
      <alignment horizontal="center"/>
    </xf>
    <xf numFmtId="0" fontId="1" fillId="0" borderId="153" xfId="10" applyFont="1" applyFill="1" applyBorder="1" applyAlignment="1">
      <alignment horizontal="center"/>
    </xf>
    <xf numFmtId="0" fontId="1" fillId="0" borderId="146" xfId="10" applyFont="1" applyBorder="1" applyAlignment="1"/>
    <xf numFmtId="0" fontId="1" fillId="2" borderId="150" xfId="10" applyFont="1" applyFill="1" applyBorder="1" applyAlignment="1"/>
    <xf numFmtId="0" fontId="1" fillId="2" borderId="126" xfId="10" applyFont="1" applyFill="1" applyBorder="1" applyAlignment="1"/>
    <xf numFmtId="0" fontId="1" fillId="2" borderId="151" xfId="8" applyFont="1" applyFill="1" applyBorder="1" applyAlignment="1">
      <alignment horizontal="center"/>
    </xf>
    <xf numFmtId="0" fontId="1" fillId="2" borderId="1" xfId="8" applyFont="1" applyFill="1" applyBorder="1" applyAlignment="1">
      <alignment horizontal="center"/>
    </xf>
    <xf numFmtId="0" fontId="1" fillId="2" borderId="122" xfId="8" applyFont="1" applyFill="1" applyBorder="1" applyAlignment="1">
      <alignment horizontal="center"/>
    </xf>
    <xf numFmtId="0" fontId="1" fillId="2" borderId="150" xfId="8" applyFont="1" applyFill="1" applyBorder="1" applyAlignment="1">
      <alignment horizontal="center"/>
    </xf>
    <xf numFmtId="0" fontId="1" fillId="0" borderId="150" xfId="10" applyFont="1" applyBorder="1" applyAlignment="1"/>
    <xf numFmtId="0" fontId="1" fillId="0" borderId="126" xfId="10" applyFont="1" applyFill="1" applyBorder="1" applyAlignment="1"/>
    <xf numFmtId="0" fontId="1" fillId="0" borderId="151" xfId="8" applyFont="1" applyBorder="1" applyAlignment="1">
      <alignment horizontal="center"/>
    </xf>
    <xf numFmtId="0" fontId="1" fillId="0" borderId="1" xfId="8" applyFont="1" applyBorder="1" applyAlignment="1">
      <alignment horizontal="center"/>
    </xf>
    <xf numFmtId="0" fontId="1" fillId="0" borderId="122" xfId="8" applyFont="1" applyBorder="1" applyAlignment="1">
      <alignment horizontal="center"/>
    </xf>
    <xf numFmtId="0" fontId="1" fillId="0" borderId="150" xfId="8" applyFont="1" applyFill="1" applyBorder="1" applyAlignment="1">
      <alignment horizontal="center"/>
    </xf>
    <xf numFmtId="0" fontId="1" fillId="0" borderId="153" xfId="10" applyFont="1" applyBorder="1" applyAlignment="1"/>
    <xf numFmtId="0" fontId="1" fillId="0" borderId="155" xfId="8" applyFont="1" applyBorder="1" applyAlignment="1">
      <alignment horizontal="center"/>
    </xf>
    <xf numFmtId="0" fontId="1" fillId="0" borderId="156" xfId="8" applyFont="1" applyBorder="1" applyAlignment="1">
      <alignment horizontal="center"/>
    </xf>
    <xf numFmtId="0" fontId="1" fillId="0" borderId="157" xfId="8" applyFont="1" applyBorder="1" applyAlignment="1">
      <alignment horizontal="center"/>
    </xf>
    <xf numFmtId="0" fontId="1" fillId="0" borderId="153" xfId="8" applyFont="1" applyFill="1" applyBorder="1" applyAlignment="1">
      <alignment horizontal="center"/>
    </xf>
    <xf numFmtId="0" fontId="4" fillId="0" borderId="158" xfId="8" applyFont="1" applyBorder="1" applyAlignment="1"/>
    <xf numFmtId="0" fontId="1" fillId="0" borderId="146" xfId="10" applyFont="1" applyFill="1" applyBorder="1" applyAlignment="1">
      <alignment horizontal="center"/>
    </xf>
    <xf numFmtId="0" fontId="4" fillId="0" borderId="150" xfId="8" applyFont="1" applyFill="1" applyBorder="1" applyAlignment="1">
      <alignment horizontal="center"/>
    </xf>
    <xf numFmtId="0" fontId="1" fillId="0" borderId="159" xfId="10" applyFont="1" applyFill="1" applyBorder="1" applyAlignment="1"/>
    <xf numFmtId="0" fontId="0" fillId="0" borderId="155" xfId="8" applyFont="1" applyBorder="1" applyAlignment="1">
      <alignment horizontal="center"/>
    </xf>
    <xf numFmtId="0" fontId="0" fillId="0" borderId="156" xfId="8" applyFont="1" applyBorder="1" applyAlignment="1">
      <alignment horizontal="center"/>
    </xf>
    <xf numFmtId="0" fontId="0" fillId="0" borderId="157" xfId="8" applyFont="1" applyBorder="1" applyAlignment="1">
      <alignment horizontal="center"/>
    </xf>
    <xf numFmtId="0" fontId="0" fillId="0" borderId="157" xfId="8" applyFont="1" applyFill="1" applyBorder="1" applyAlignment="1">
      <alignment horizontal="center"/>
    </xf>
    <xf numFmtId="0" fontId="4" fillId="0" borderId="153" xfId="8" applyFont="1" applyFill="1" applyBorder="1" applyAlignment="1">
      <alignment horizontal="center"/>
    </xf>
    <xf numFmtId="0" fontId="1" fillId="0" borderId="160" xfId="10" applyFont="1" applyFill="1" applyBorder="1" applyAlignment="1"/>
    <xf numFmtId="0" fontId="1" fillId="0" borderId="0" xfId="10" applyFont="1"/>
    <xf numFmtId="0" fontId="4" fillId="8" borderId="1" xfId="6" applyFont="1" applyFill="1" applyBorder="1" applyAlignment="1"/>
    <xf numFmtId="0" fontId="1" fillId="0" borderId="0" xfId="10" applyFont="1" applyAlignment="1"/>
    <xf numFmtId="0" fontId="1" fillId="2" borderId="1" xfId="10" applyFont="1" applyFill="1" applyBorder="1" applyAlignment="1"/>
    <xf numFmtId="0" fontId="1" fillId="18" borderId="1" xfId="10" applyFont="1" applyFill="1" applyBorder="1" applyAlignment="1"/>
    <xf numFmtId="0" fontId="1" fillId="0" borderId="1" xfId="6" applyFont="1" applyFill="1" applyBorder="1" applyAlignment="1"/>
    <xf numFmtId="0" fontId="0" fillId="0" borderId="0" xfId="10" applyFont="1"/>
    <xf numFmtId="0" fontId="0" fillId="0" borderId="1" xfId="6" applyFont="1" applyFill="1" applyBorder="1" applyAlignment="1"/>
    <xf numFmtId="0" fontId="1" fillId="0" borderId="1" xfId="10" applyFont="1" applyBorder="1" applyAlignment="1"/>
    <xf numFmtId="0" fontId="1" fillId="2" borderId="0" xfId="1" applyFont="1" applyFill="1"/>
    <xf numFmtId="0" fontId="21" fillId="0" borderId="0" xfId="1" applyFont="1"/>
    <xf numFmtId="0" fontId="4" fillId="4" borderId="138" xfId="1" applyFont="1" applyFill="1" applyBorder="1" applyAlignment="1">
      <alignment horizontal="center"/>
    </xf>
    <xf numFmtId="0" fontId="1" fillId="0" borderId="138" xfId="1" applyFont="1" applyBorder="1"/>
    <xf numFmtId="0" fontId="4" fillId="0" borderId="138" xfId="1" applyFont="1" applyBorder="1" applyAlignment="1">
      <alignment horizontal="center"/>
    </xf>
    <xf numFmtId="0" fontId="4" fillId="4" borderId="138" xfId="1" applyFont="1" applyFill="1" applyBorder="1" applyAlignment="1">
      <alignment horizontal="center" vertical="top"/>
    </xf>
    <xf numFmtId="0" fontId="4" fillId="0" borderId="0" xfId="8" applyFont="1" applyAlignment="1">
      <alignment vertical="center"/>
    </xf>
    <xf numFmtId="0" fontId="1" fillId="2" borderId="138" xfId="1" applyFont="1" applyFill="1" applyBorder="1"/>
    <xf numFmtId="0" fontId="1" fillId="2" borderId="138" xfId="1" applyFont="1" applyFill="1" applyBorder="1" applyAlignment="1">
      <alignment horizontal="center"/>
    </xf>
    <xf numFmtId="0" fontId="1" fillId="0" borderId="161" xfId="10" applyFont="1" applyBorder="1"/>
    <xf numFmtId="0" fontId="1" fillId="0" borderId="162" xfId="10" applyFont="1" applyBorder="1"/>
    <xf numFmtId="0" fontId="1" fillId="0" borderId="161" xfId="10" applyFont="1" applyFill="1" applyBorder="1" applyAlignment="1">
      <alignment horizontal="center"/>
    </xf>
    <xf numFmtId="0" fontId="1" fillId="0" borderId="161" xfId="8" applyFont="1" applyFill="1" applyBorder="1" applyAlignment="1">
      <alignment horizontal="center"/>
    </xf>
    <xf numFmtId="0" fontId="1" fillId="2" borderId="0" xfId="6" applyFont="1" applyFill="1"/>
    <xf numFmtId="0" fontId="4" fillId="2" borderId="0" xfId="0" applyFont="1" applyFill="1" applyAlignment="1"/>
    <xf numFmtId="0" fontId="4" fillId="0" borderId="1" xfId="6" applyFont="1" applyBorder="1" applyAlignment="1"/>
    <xf numFmtId="0" fontId="4" fillId="0" borderId="1" xfId="6" applyFont="1" applyFill="1" applyBorder="1" applyAlignment="1"/>
    <xf numFmtId="0" fontId="4" fillId="0" borderId="1" xfId="6" applyFont="1" applyBorder="1" applyAlignment="1">
      <alignment horizontal="center"/>
    </xf>
    <xf numFmtId="0" fontId="4" fillId="0" borderId="1" xfId="6" applyFont="1" applyFill="1" applyBorder="1" applyAlignment="1">
      <alignment horizontal="center"/>
    </xf>
    <xf numFmtId="0" fontId="4" fillId="0" borderId="0" xfId="7" applyFont="1" applyFill="1" applyAlignment="1">
      <alignment horizontal="center"/>
    </xf>
    <xf numFmtId="0" fontId="4" fillId="0" borderId="0" xfId="6" applyNumberFormat="1" applyFont="1" applyFill="1" applyAlignment="1">
      <alignment horizontal="center"/>
    </xf>
    <xf numFmtId="0" fontId="4" fillId="0" borderId="0" xfId="6" quotePrefix="1" applyFont="1" applyFill="1" applyAlignment="1">
      <alignment horizontal="center"/>
    </xf>
    <xf numFmtId="168" fontId="4" fillId="0" borderId="0" xfId="0" applyNumberFormat="1" applyFont="1" applyAlignment="1">
      <alignment horizontal="center"/>
    </xf>
    <xf numFmtId="168" fontId="4" fillId="0" borderId="0" xfId="0" applyNumberFormat="1" applyFont="1" applyFill="1" applyAlignment="1">
      <alignment horizontal="center"/>
    </xf>
    <xf numFmtId="0" fontId="45" fillId="0" borderId="0" xfId="6" applyFont="1" applyAlignment="1">
      <alignment horizontal="center"/>
    </xf>
    <xf numFmtId="0" fontId="45" fillId="0" borderId="0" xfId="6" applyNumberFormat="1" applyFont="1" applyAlignment="1">
      <alignment horizontal="center"/>
    </xf>
    <xf numFmtId="0" fontId="45" fillId="0" borderId="0" xfId="6" applyFont="1" applyFill="1" applyAlignment="1">
      <alignment horizontal="center"/>
    </xf>
    <xf numFmtId="0" fontId="0" fillId="0" borderId="1" xfId="7" applyFont="1" applyFill="1" applyBorder="1" applyAlignment="1"/>
    <xf numFmtId="0" fontId="1" fillId="22" borderId="1" xfId="6" applyFont="1" applyFill="1" applyBorder="1" applyAlignment="1">
      <alignment horizontal="center"/>
    </xf>
    <xf numFmtId="0" fontId="1" fillId="23" borderId="1" xfId="6" applyFont="1" applyFill="1" applyBorder="1" applyAlignment="1">
      <alignment horizontal="center"/>
    </xf>
    <xf numFmtId="0" fontId="1" fillId="0" borderId="1" xfId="6" applyFont="1" applyFill="1" applyBorder="1" applyAlignment="1">
      <alignment horizontal="center"/>
    </xf>
    <xf numFmtId="0" fontId="0" fillId="0" borderId="1" xfId="6" applyNumberFormat="1" applyFont="1" applyFill="1" applyBorder="1" applyAlignment="1">
      <alignment horizontal="center"/>
    </xf>
    <xf numFmtId="166" fontId="1" fillId="0" borderId="0" xfId="7" applyNumberFormat="1" applyFont="1" applyFill="1" applyAlignment="1">
      <alignment horizontal="center"/>
    </xf>
    <xf numFmtId="0" fontId="56" fillId="0" borderId="0" xfId="6" applyNumberFormat="1" applyFont="1" applyFill="1" applyBorder="1" applyAlignment="1">
      <alignment horizontal="center" wrapText="1"/>
    </xf>
    <xf numFmtId="168" fontId="1" fillId="0" borderId="0" xfId="6" applyNumberFormat="1" applyFont="1" applyFill="1" applyBorder="1" applyAlignment="1">
      <alignment horizontal="right" wrapText="1"/>
    </xf>
    <xf numFmtId="0" fontId="56" fillId="0" borderId="0" xfId="6" applyNumberFormat="1" applyFont="1" applyFill="1" applyBorder="1" applyAlignment="1">
      <alignment horizontal="center"/>
    </xf>
    <xf numFmtId="0" fontId="0" fillId="0" borderId="0" xfId="0" applyFill="1" applyAlignment="1">
      <alignment horizontal="right"/>
    </xf>
    <xf numFmtId="168" fontId="56" fillId="0" borderId="0" xfId="0" applyNumberFormat="1" applyFont="1" applyFill="1" applyAlignment="1"/>
    <xf numFmtId="168" fontId="0" fillId="0" borderId="0" xfId="0" applyNumberFormat="1" applyFill="1" applyAlignment="1"/>
    <xf numFmtId="0" fontId="38" fillId="0" borderId="0" xfId="6" applyFont="1" applyFill="1" applyBorder="1" applyAlignment="1">
      <alignment horizontal="center" wrapText="1"/>
    </xf>
    <xf numFmtId="1" fontId="38" fillId="0" borderId="0" xfId="6" applyNumberFormat="1" applyFont="1" applyFill="1" applyBorder="1" applyAlignment="1">
      <alignment horizontal="center" wrapText="1"/>
    </xf>
    <xf numFmtId="169" fontId="38" fillId="0" borderId="0" xfId="6" applyNumberFormat="1" applyFont="1" applyFill="1" applyBorder="1" applyAlignment="1">
      <alignment horizontal="center" wrapText="1"/>
    </xf>
    <xf numFmtId="0" fontId="38" fillId="0" borderId="0" xfId="0" applyFont="1" applyFill="1" applyAlignment="1">
      <alignment horizontal="center"/>
    </xf>
    <xf numFmtId="0" fontId="0" fillId="0" borderId="1" xfId="0" applyBorder="1" applyAlignment="1"/>
    <xf numFmtId="166" fontId="1" fillId="0" borderId="0" xfId="15" applyNumberFormat="1" applyFont="1" applyFill="1" applyAlignment="1">
      <alignment horizontal="center"/>
    </xf>
    <xf numFmtId="168" fontId="1" fillId="0" borderId="0" xfId="6" applyNumberFormat="1" applyFont="1" applyFill="1" applyBorder="1" applyAlignment="1">
      <alignment horizontal="right"/>
    </xf>
    <xf numFmtId="0" fontId="38" fillId="0" borderId="0" xfId="6" applyFont="1" applyFill="1" applyBorder="1" applyAlignment="1">
      <alignment horizontal="center"/>
    </xf>
    <xf numFmtId="0" fontId="37" fillId="0" borderId="1" xfId="6" applyFont="1" applyFill="1" applyBorder="1" applyAlignment="1">
      <alignment horizontal="center"/>
    </xf>
    <xf numFmtId="0" fontId="0" fillId="0" borderId="1" xfId="0" applyFill="1" applyBorder="1" applyAlignment="1"/>
    <xf numFmtId="0" fontId="1" fillId="5" borderId="1" xfId="6" applyFont="1" applyFill="1" applyBorder="1" applyAlignment="1">
      <alignment horizontal="center"/>
    </xf>
    <xf numFmtId="0" fontId="0" fillId="0" borderId="1" xfId="0" applyFill="1" applyBorder="1" applyAlignment="1">
      <alignment horizontal="center"/>
    </xf>
    <xf numFmtId="0" fontId="0" fillId="5" borderId="1" xfId="0" applyFill="1" applyBorder="1" applyAlignment="1">
      <alignment horizontal="center"/>
    </xf>
    <xf numFmtId="0" fontId="0" fillId="22" borderId="1" xfId="0" applyFill="1" applyBorder="1" applyAlignment="1">
      <alignment horizontal="center"/>
    </xf>
    <xf numFmtId="166" fontId="0" fillId="0" borderId="0" xfId="0" applyNumberFormat="1" applyFill="1" applyAlignment="1">
      <alignment horizontal="center"/>
    </xf>
    <xf numFmtId="0" fontId="56" fillId="0" borderId="0" xfId="0" applyNumberFormat="1" applyFont="1" applyFill="1" applyAlignment="1">
      <alignment horizontal="center"/>
    </xf>
    <xf numFmtId="168" fontId="0" fillId="0" borderId="0" xfId="0" applyNumberFormat="1" applyFill="1" applyAlignment="1">
      <alignment horizontal="right"/>
    </xf>
    <xf numFmtId="0" fontId="1" fillId="0" borderId="0" xfId="6" applyFont="1" applyFill="1" applyBorder="1" applyAlignment="1">
      <alignment horizontal="right"/>
    </xf>
    <xf numFmtId="49" fontId="0" fillId="0" borderId="0" xfId="6" applyNumberFormat="1" applyFont="1" applyBorder="1" applyAlignment="1">
      <alignment horizontal="center"/>
    </xf>
    <xf numFmtId="0" fontId="0" fillId="0" borderId="0" xfId="0" applyAlignment="1"/>
    <xf numFmtId="0" fontId="17" fillId="0" borderId="0" xfId="0" applyFont="1"/>
    <xf numFmtId="0" fontId="0" fillId="0" borderId="0" xfId="6" applyFont="1" applyFill="1"/>
    <xf numFmtId="0" fontId="4" fillId="0" borderId="163" xfId="6" applyFont="1" applyBorder="1"/>
    <xf numFmtId="0" fontId="1" fillId="0" borderId="163" xfId="6" applyFont="1" applyBorder="1"/>
    <xf numFmtId="0" fontId="1" fillId="0" borderId="113" xfId="6" applyFont="1" applyBorder="1"/>
    <xf numFmtId="0" fontId="1" fillId="0" borderId="0" xfId="6" applyFont="1" applyBorder="1"/>
    <xf numFmtId="0" fontId="0" fillId="0" borderId="113" xfId="6" applyFont="1" applyFill="1" applyBorder="1"/>
    <xf numFmtId="0" fontId="1" fillId="0" borderId="0" xfId="15" applyFont="1"/>
    <xf numFmtId="0" fontId="0" fillId="0" borderId="0" xfId="1" applyFont="1"/>
    <xf numFmtId="0" fontId="1" fillId="0" borderId="138" xfId="1" applyFont="1" applyBorder="1" applyAlignment="1">
      <alignment horizontal="center"/>
    </xf>
    <xf numFmtId="0" fontId="1" fillId="2" borderId="138" xfId="1" applyFont="1" applyFill="1" applyBorder="1" applyAlignment="1"/>
    <xf numFmtId="0" fontId="0" fillId="2" borderId="0" xfId="0" applyFill="1" applyAlignment="1"/>
    <xf numFmtId="0" fontId="1" fillId="0" borderId="0" xfId="6" applyFont="1" applyFill="1" applyAlignment="1"/>
    <xf numFmtId="0" fontId="45" fillId="0" borderId="0" xfId="7" applyFont="1" applyAlignment="1"/>
    <xf numFmtId="168" fontId="4" fillId="24" borderId="0" xfId="0" applyNumberFormat="1" applyFont="1" applyFill="1" applyAlignment="1">
      <alignment horizontal="center"/>
    </xf>
    <xf numFmtId="169" fontId="38" fillId="0" borderId="0" xfId="6" applyNumberFormat="1" applyFont="1" applyFill="1" applyBorder="1" applyAlignment="1">
      <alignment horizontal="right" wrapText="1"/>
    </xf>
    <xf numFmtId="0" fontId="1" fillId="0" borderId="1" xfId="6" applyFont="1" applyBorder="1" applyAlignment="1">
      <alignment horizontal="center"/>
    </xf>
    <xf numFmtId="0" fontId="4" fillId="0" borderId="0" xfId="6" applyFont="1" applyBorder="1" applyAlignment="1"/>
    <xf numFmtId="0" fontId="56" fillId="0" borderId="0" xfId="7" applyFont="1" applyFill="1" applyAlignment="1"/>
    <xf numFmtId="0" fontId="1" fillId="0" borderId="0" xfId="6" applyFont="1" applyBorder="1" applyAlignment="1"/>
    <xf numFmtId="16" fontId="1" fillId="0" borderId="0" xfId="6" applyNumberFormat="1" applyFont="1" applyBorder="1" applyAlignment="1"/>
    <xf numFmtId="0" fontId="1" fillId="0" borderId="0" xfId="6" applyFont="1" applyFill="1" applyBorder="1" applyAlignment="1"/>
    <xf numFmtId="0" fontId="1" fillId="0" borderId="0" xfId="6" applyFont="1" applyAlignment="1"/>
    <xf numFmtId="49" fontId="1" fillId="0" borderId="0" xfId="6" applyNumberFormat="1" applyFont="1" applyFill="1" applyBorder="1" applyAlignment="1"/>
    <xf numFmtId="0" fontId="1" fillId="0" borderId="0" xfId="6" applyFont="1" applyBorder="1" applyAlignment="1">
      <alignment horizontal="right"/>
    </xf>
    <xf numFmtId="49" fontId="1" fillId="0" borderId="0" xfId="6" applyNumberFormat="1" applyFont="1" applyBorder="1" applyAlignment="1">
      <alignment horizontal="center"/>
    </xf>
    <xf numFmtId="49" fontId="1" fillId="0" borderId="0" xfId="6" applyNumberFormat="1" applyFont="1" applyBorder="1" applyAlignment="1"/>
    <xf numFmtId="0" fontId="0" fillId="0" borderId="0" xfId="6" applyFont="1" applyBorder="1" applyAlignment="1"/>
    <xf numFmtId="0" fontId="17" fillId="0" borderId="0" xfId="6" applyFont="1"/>
    <xf numFmtId="0" fontId="4" fillId="0" borderId="0" xfId="0" applyFont="1" applyAlignment="1">
      <alignment horizontal="right"/>
    </xf>
    <xf numFmtId="0" fontId="0" fillId="0" borderId="164" xfId="6" applyFont="1" applyFill="1" applyBorder="1"/>
    <xf numFmtId="0" fontId="1" fillId="0" borderId="0" xfId="6" applyFont="1" applyAlignment="1">
      <alignment horizontal="left"/>
    </xf>
    <xf numFmtId="0" fontId="1" fillId="0" borderId="3" xfId="6" applyFont="1" applyFill="1" applyBorder="1"/>
    <xf numFmtId="0" fontId="0" fillId="0" borderId="165" xfId="6" applyFont="1" applyBorder="1"/>
    <xf numFmtId="0" fontId="0" fillId="0" borderId="166" xfId="6" applyFont="1" applyFill="1" applyBorder="1"/>
    <xf numFmtId="0" fontId="1" fillId="0" borderId="121" xfId="6" applyFont="1" applyBorder="1" applyAlignment="1">
      <alignment horizontal="left"/>
    </xf>
    <xf numFmtId="0" fontId="1" fillId="0" borderId="167" xfId="6" applyFont="1" applyBorder="1" applyAlignment="1">
      <alignment horizontal="left"/>
    </xf>
    <xf numFmtId="0" fontId="1" fillId="0" borderId="0" xfId="6" applyFont="1" applyFill="1"/>
    <xf numFmtId="0" fontId="1" fillId="0" borderId="0" xfId="6" applyFont="1" applyBorder="1" applyAlignment="1">
      <alignment horizontal="left"/>
    </xf>
    <xf numFmtId="0" fontId="1" fillId="0" borderId="168" xfId="6" applyFont="1" applyBorder="1" applyAlignment="1">
      <alignment horizontal="left"/>
    </xf>
    <xf numFmtId="0" fontId="0" fillId="0" borderId="121" xfId="6" applyFont="1" applyBorder="1"/>
    <xf numFmtId="0" fontId="0" fillId="0" borderId="0" xfId="6" applyFont="1" applyBorder="1"/>
    <xf numFmtId="0" fontId="1" fillId="0" borderId="169" xfId="6" applyFont="1" applyBorder="1"/>
    <xf numFmtId="0" fontId="0" fillId="0" borderId="163" xfId="0" applyBorder="1"/>
    <xf numFmtId="0" fontId="1" fillId="0" borderId="166" xfId="6" applyFont="1" applyBorder="1"/>
    <xf numFmtId="0" fontId="0" fillId="0" borderId="0" xfId="0" applyBorder="1"/>
    <xf numFmtId="0" fontId="0" fillId="0" borderId="113" xfId="6" applyFont="1" applyBorder="1"/>
    <xf numFmtId="0" fontId="0" fillId="0" borderId="113" xfId="0" applyBorder="1"/>
    <xf numFmtId="0" fontId="1" fillId="0" borderId="3" xfId="6" applyFont="1" applyBorder="1"/>
    <xf numFmtId="0" fontId="1" fillId="0" borderId="167" xfId="6" applyFont="1" applyBorder="1"/>
    <xf numFmtId="0" fontId="0" fillId="0" borderId="170" xfId="6" applyFont="1" applyBorder="1"/>
    <xf numFmtId="0" fontId="0" fillId="0" borderId="164" xfId="6" applyFont="1" applyBorder="1"/>
    <xf numFmtId="0" fontId="4" fillId="0" borderId="0" xfId="16" applyFont="1" applyFill="1" applyAlignment="1">
      <alignment horizontal="center"/>
    </xf>
    <xf numFmtId="0" fontId="4" fillId="0" borderId="0" xfId="17" applyNumberFormat="1" applyFont="1" applyFill="1" applyAlignment="1">
      <alignment horizontal="center"/>
    </xf>
    <xf numFmtId="0" fontId="4" fillId="0" borderId="0" xfId="17" quotePrefix="1" applyFont="1" applyFill="1" applyAlignment="1">
      <alignment horizontal="center"/>
    </xf>
    <xf numFmtId="49" fontId="4" fillId="0" borderId="0" xfId="0" applyNumberFormat="1" applyFont="1" applyAlignment="1">
      <alignment horizontal="center"/>
    </xf>
    <xf numFmtId="0" fontId="45" fillId="0" borderId="0" xfId="17" applyFont="1" applyAlignment="1">
      <alignment horizontal="center"/>
    </xf>
    <xf numFmtId="0" fontId="45" fillId="0" borderId="0" xfId="17" applyNumberFormat="1" applyFont="1" applyAlignment="1">
      <alignment horizontal="center"/>
    </xf>
    <xf numFmtId="0" fontId="45" fillId="0" borderId="0" xfId="17" applyFont="1" applyFill="1" applyAlignment="1">
      <alignment horizontal="center"/>
    </xf>
    <xf numFmtId="0" fontId="1" fillId="25" borderId="1" xfId="6" applyFont="1" applyFill="1" applyBorder="1" applyAlignment="1">
      <alignment horizontal="center"/>
    </xf>
    <xf numFmtId="0" fontId="37" fillId="5" borderId="1" xfId="6" applyFont="1" applyFill="1" applyBorder="1" applyAlignment="1">
      <alignment horizontal="center"/>
    </xf>
    <xf numFmtId="0" fontId="56" fillId="0" borderId="0" xfId="6" applyFont="1" applyFill="1" applyAlignment="1"/>
    <xf numFmtId="0" fontId="4" fillId="0" borderId="0" xfId="6" applyFont="1" applyAlignment="1"/>
    <xf numFmtId="0" fontId="1" fillId="0" borderId="0" xfId="15" applyFont="1" applyAlignment="1"/>
    <xf numFmtId="49" fontId="1" fillId="0" borderId="0" xfId="6" applyNumberFormat="1" applyFont="1" applyFill="1" applyAlignment="1"/>
    <xf numFmtId="0" fontId="0" fillId="0" borderId="1" xfId="6" applyFont="1" applyBorder="1" applyAlignment="1"/>
    <xf numFmtId="49" fontId="0" fillId="0" borderId="0" xfId="6" applyNumberFormat="1" applyFont="1" applyFill="1" applyBorder="1" applyAlignment="1"/>
    <xf numFmtId="0" fontId="37" fillId="0" borderId="0" xfId="6" applyFont="1" applyFill="1" applyBorder="1" applyAlignment="1"/>
    <xf numFmtId="0" fontId="1" fillId="0" borderId="168" xfId="6" applyFont="1" applyBorder="1"/>
    <xf numFmtId="0" fontId="1" fillId="0" borderId="7" xfId="6" applyFont="1" applyBorder="1"/>
    <xf numFmtId="0" fontId="4" fillId="0" borderId="0" xfId="6" applyFont="1" applyBorder="1"/>
    <xf numFmtId="0" fontId="1" fillId="0" borderId="3" xfId="6" applyFont="1" applyBorder="1" applyAlignment="1">
      <alignment horizontal="left"/>
    </xf>
    <xf numFmtId="0" fontId="1" fillId="0" borderId="166" xfId="6" applyFont="1" applyBorder="1" applyAlignment="1">
      <alignment horizontal="left"/>
    </xf>
    <xf numFmtId="0" fontId="4" fillId="10" borderId="0" xfId="0" applyFont="1" applyFill="1" applyAlignment="1">
      <alignment horizontal="right"/>
    </xf>
    <xf numFmtId="0" fontId="1" fillId="10" borderId="121" xfId="6" applyFont="1" applyFill="1" applyBorder="1" applyAlignment="1">
      <alignment horizontal="left"/>
    </xf>
    <xf numFmtId="0" fontId="0" fillId="0" borderId="0" xfId="6" applyFont="1" applyFill="1" applyBorder="1"/>
    <xf numFmtId="0" fontId="0" fillId="0" borderId="167" xfId="0" applyBorder="1"/>
    <xf numFmtId="0" fontId="0" fillId="0" borderId="166" xfId="0" applyBorder="1"/>
    <xf numFmtId="0" fontId="1" fillId="0" borderId="0" xfId="7" applyFont="1" applyFill="1" applyAlignment="1">
      <alignment vertical="center"/>
    </xf>
    <xf numFmtId="0" fontId="41" fillId="0" borderId="0" xfId="0" applyFont="1" applyAlignment="1">
      <alignment vertical="center"/>
    </xf>
    <xf numFmtId="0" fontId="1" fillId="6" borderId="1" xfId="1" applyNumberFormat="1" applyFont="1" applyFill="1" applyBorder="1" applyAlignment="1"/>
    <xf numFmtId="165" fontId="1" fillId="6" borderId="1" xfId="1" applyNumberFormat="1" applyFont="1" applyFill="1" applyBorder="1" applyAlignment="1">
      <alignment horizontal="center"/>
    </xf>
    <xf numFmtId="166" fontId="1" fillId="6" borderId="1" xfId="1" applyNumberFormat="1" applyFont="1" applyFill="1" applyBorder="1" applyAlignment="1">
      <alignment horizontal="center"/>
    </xf>
    <xf numFmtId="0" fontId="1" fillId="8" borderId="1" xfId="0" applyNumberFormat="1" applyFont="1" applyFill="1" applyBorder="1" applyAlignment="1"/>
    <xf numFmtId="165" fontId="1" fillId="8" borderId="1" xfId="1" applyNumberFormat="1" applyFont="1" applyFill="1" applyBorder="1" applyAlignment="1">
      <alignment horizontal="center"/>
    </xf>
    <xf numFmtId="166" fontId="1" fillId="8" borderId="1" xfId="1" applyNumberFormat="1" applyFont="1" applyFill="1" applyBorder="1" applyAlignment="1">
      <alignment horizontal="center"/>
    </xf>
    <xf numFmtId="0" fontId="1" fillId="9" borderId="1" xfId="0" applyNumberFormat="1" applyFont="1" applyFill="1" applyBorder="1" applyAlignment="1"/>
    <xf numFmtId="165" fontId="1" fillId="9" borderId="1" xfId="0" applyNumberFormat="1" applyFont="1" applyFill="1" applyBorder="1" applyAlignment="1">
      <alignment horizontal="center"/>
    </xf>
    <xf numFmtId="166" fontId="1" fillId="9" borderId="1" xfId="1" applyNumberFormat="1" applyFont="1" applyFill="1" applyBorder="1" applyAlignment="1">
      <alignment horizontal="center"/>
    </xf>
    <xf numFmtId="0" fontId="4" fillId="0" borderId="1" xfId="0" applyNumberFormat="1" applyFont="1" applyFill="1" applyBorder="1" applyAlignment="1"/>
    <xf numFmtId="165" fontId="4" fillId="0" borderId="1" xfId="1" applyNumberFormat="1" applyFont="1" applyFill="1" applyBorder="1" applyAlignment="1">
      <alignment horizontal="center"/>
    </xf>
    <xf numFmtId="166" fontId="4" fillId="0" borderId="1" xfId="1" applyNumberFormat="1" applyFont="1" applyFill="1" applyBorder="1" applyAlignment="1">
      <alignment horizontal="center"/>
    </xf>
    <xf numFmtId="0" fontId="1" fillId="4" borderId="1" xfId="1" applyNumberFormat="1" applyFont="1" applyFill="1" applyBorder="1" applyAlignment="1"/>
    <xf numFmtId="165" fontId="1" fillId="4" borderId="1" xfId="1" applyNumberFormat="1" applyFont="1" applyFill="1" applyBorder="1" applyAlignment="1">
      <alignment horizontal="center"/>
    </xf>
    <xf numFmtId="166" fontId="1" fillId="4" borderId="1" xfId="1" applyNumberFormat="1" applyFont="1" applyFill="1" applyBorder="1" applyAlignment="1">
      <alignment horizontal="center"/>
    </xf>
    <xf numFmtId="0" fontId="4" fillId="0" borderId="1" xfId="0" applyNumberFormat="1" applyFont="1" applyBorder="1" applyAlignment="1"/>
    <xf numFmtId="0" fontId="1" fillId="4" borderId="1" xfId="1" applyNumberFormat="1" applyFont="1" applyFill="1" applyBorder="1" applyAlignment="1">
      <alignment vertical="center"/>
    </xf>
    <xf numFmtId="49" fontId="1" fillId="6" borderId="1" xfId="0" applyNumberFormat="1" applyFont="1" applyFill="1" applyBorder="1" applyAlignment="1"/>
    <xf numFmtId="0" fontId="7" fillId="6" borderId="1" xfId="2" applyNumberFormat="1" applyFont="1" applyFill="1" applyBorder="1" applyAlignment="1"/>
    <xf numFmtId="0" fontId="1" fillId="8" borderId="1" xfId="1" applyNumberFormat="1" applyFont="1" applyFill="1" applyBorder="1" applyAlignment="1"/>
    <xf numFmtId="49" fontId="1" fillId="8" borderId="1" xfId="1" applyNumberFormat="1" applyFont="1" applyFill="1" applyBorder="1" applyAlignment="1"/>
    <xf numFmtId="0" fontId="7" fillId="8" borderId="1" xfId="2" applyNumberFormat="1" applyFont="1" applyFill="1" applyBorder="1" applyAlignment="1"/>
    <xf numFmtId="0" fontId="1" fillId="9" borderId="1" xfId="0" applyNumberFormat="1" applyFont="1" applyFill="1" applyBorder="1" applyAlignment="1">
      <alignment vertical="center"/>
    </xf>
    <xf numFmtId="49" fontId="1" fillId="9" borderId="1" xfId="0" applyNumberFormat="1" applyFont="1" applyFill="1" applyBorder="1" applyAlignment="1"/>
    <xf numFmtId="0" fontId="4" fillId="0" borderId="1" xfId="1" applyNumberFormat="1" applyFont="1" applyBorder="1" applyAlignment="1"/>
    <xf numFmtId="49" fontId="4" fillId="0" borderId="1" xfId="1" applyNumberFormat="1" applyFont="1" applyFill="1" applyBorder="1" applyAlignment="1"/>
    <xf numFmtId="0" fontId="4" fillId="0" borderId="1" xfId="1" applyNumberFormat="1" applyFont="1" applyFill="1" applyBorder="1" applyAlignment="1"/>
    <xf numFmtId="49" fontId="1" fillId="4" borderId="1" xfId="0" applyNumberFormat="1" applyFont="1" applyFill="1" applyBorder="1" applyAlignment="1"/>
    <xf numFmtId="0" fontId="1" fillId="4" borderId="1" xfId="0" applyNumberFormat="1" applyFont="1" applyFill="1" applyBorder="1" applyAlignment="1"/>
    <xf numFmtId="49" fontId="4" fillId="0" borderId="1" xfId="1" applyNumberFormat="1" applyFont="1" applyBorder="1" applyAlignment="1"/>
    <xf numFmtId="14" fontId="4" fillId="0" borderId="1" xfId="1" applyNumberFormat="1" applyFont="1" applyFill="1" applyBorder="1" applyAlignment="1"/>
    <xf numFmtId="49" fontId="1" fillId="4" borderId="1" xfId="1" applyNumberFormat="1" applyFont="1" applyFill="1" applyBorder="1" applyAlignment="1">
      <alignment vertical="center"/>
    </xf>
    <xf numFmtId="0" fontId="1" fillId="0" borderId="1" xfId="1" applyNumberFormat="1" applyFont="1" applyFill="1" applyBorder="1" applyAlignment="1"/>
    <xf numFmtId="0" fontId="1" fillId="6" borderId="1" xfId="0" applyNumberFormat="1" applyFont="1" applyFill="1" applyBorder="1" applyAlignment="1"/>
    <xf numFmtId="0" fontId="7" fillId="6" borderId="1" xfId="2" applyFont="1" applyFill="1" applyBorder="1" applyAlignment="1"/>
    <xf numFmtId="0" fontId="7" fillId="8" borderId="1" xfId="2" applyFont="1" applyFill="1" applyBorder="1" applyAlignment="1"/>
    <xf numFmtId="0" fontId="7" fillId="9" borderId="1" xfId="2" applyFont="1" applyFill="1" applyBorder="1" applyAlignment="1"/>
    <xf numFmtId="0" fontId="17" fillId="0" borderId="1" xfId="2" applyFont="1" applyFill="1" applyBorder="1" applyAlignment="1"/>
    <xf numFmtId="0" fontId="17" fillId="0" borderId="1" xfId="2" applyFont="1" applyFill="1" applyBorder="1"/>
    <xf numFmtId="0" fontId="4" fillId="0" borderId="1" xfId="1" applyNumberFormat="1" applyFont="1" applyFill="1" applyBorder="1" applyAlignment="1">
      <alignment vertical="center"/>
    </xf>
    <xf numFmtId="49" fontId="16" fillId="0" borderId="1" xfId="1" applyNumberFormat="1" applyFont="1" applyBorder="1" applyAlignment="1"/>
    <xf numFmtId="0" fontId="6" fillId="0" borderId="1" xfId="2" applyFill="1" applyBorder="1" applyAlignment="1"/>
    <xf numFmtId="16" fontId="1" fillId="3" borderId="1" xfId="1" applyNumberFormat="1" applyFont="1" applyFill="1" applyBorder="1" applyAlignment="1"/>
    <xf numFmtId="49" fontId="1" fillId="3" borderId="1" xfId="0" applyNumberFormat="1" applyFont="1" applyFill="1" applyBorder="1" applyAlignment="1"/>
    <xf numFmtId="0" fontId="1" fillId="3" borderId="1" xfId="0" applyNumberFormat="1" applyFont="1" applyFill="1" applyBorder="1" applyAlignment="1"/>
    <xf numFmtId="0" fontId="10" fillId="3" borderId="1" xfId="2" applyNumberFormat="1" applyFont="1" applyFill="1" applyBorder="1" applyAlignment="1"/>
    <xf numFmtId="0" fontId="7" fillId="3" borderId="1" xfId="2" applyFont="1" applyFill="1" applyBorder="1" applyAlignment="1"/>
    <xf numFmtId="165" fontId="1" fillId="3" borderId="1" xfId="1" applyNumberFormat="1" applyFont="1" applyFill="1" applyBorder="1" applyAlignment="1">
      <alignment horizontal="center"/>
    </xf>
    <xf numFmtId="166" fontId="1" fillId="3" borderId="1" xfId="1" applyNumberFormat="1" applyFont="1" applyFill="1" applyBorder="1" applyAlignment="1">
      <alignment horizontal="center"/>
    </xf>
    <xf numFmtId="0" fontId="1" fillId="3" borderId="1" xfId="1" applyNumberFormat="1" applyFont="1" applyFill="1" applyBorder="1" applyAlignment="1"/>
    <xf numFmtId="0" fontId="6" fillId="3" borderId="1" xfId="2" applyFill="1" applyBorder="1" applyAlignment="1"/>
    <xf numFmtId="0" fontId="1" fillId="5" borderId="1" xfId="1" applyNumberFormat="1" applyFont="1" applyFill="1" applyBorder="1" applyAlignment="1"/>
    <xf numFmtId="49" fontId="1" fillId="5" borderId="1" xfId="0" applyNumberFormat="1" applyFont="1" applyFill="1" applyBorder="1" applyAlignment="1"/>
    <xf numFmtId="0" fontId="7" fillId="5" borderId="1" xfId="2" applyNumberFormat="1" applyFont="1" applyFill="1" applyBorder="1" applyAlignment="1"/>
    <xf numFmtId="0" fontId="1" fillId="5" borderId="1" xfId="0" applyNumberFormat="1" applyFont="1" applyFill="1" applyBorder="1" applyAlignment="1"/>
    <xf numFmtId="166" fontId="6" fillId="5" borderId="1" xfId="2" applyNumberFormat="1" applyFill="1" applyBorder="1" applyAlignment="1">
      <alignment horizontal="right"/>
    </xf>
    <xf numFmtId="0" fontId="7" fillId="5" borderId="1" xfId="2" applyFont="1" applyFill="1" applyBorder="1" applyAlignment="1"/>
    <xf numFmtId="165" fontId="1" fillId="5" borderId="1" xfId="1" applyNumberFormat="1" applyFont="1" applyFill="1" applyBorder="1" applyAlignment="1">
      <alignment horizontal="center"/>
    </xf>
    <xf numFmtId="166" fontId="1" fillId="5" borderId="1" xfId="1" applyNumberFormat="1" applyFont="1" applyFill="1" applyBorder="1" applyAlignment="1">
      <alignment horizontal="center"/>
    </xf>
    <xf numFmtId="49" fontId="1" fillId="5" borderId="1" xfId="0" applyNumberFormat="1" applyFont="1" applyFill="1" applyBorder="1" applyAlignment="1">
      <alignment horizontal="center"/>
    </xf>
    <xf numFmtId="0" fontId="10" fillId="5" borderId="1" xfId="2" applyFont="1" applyFill="1" applyBorder="1" applyAlignment="1"/>
    <xf numFmtId="0" fontId="1" fillId="7" borderId="1" xfId="1" applyNumberFormat="1" applyFont="1" applyFill="1" applyBorder="1" applyAlignment="1"/>
    <xf numFmtId="49" fontId="1" fillId="7" borderId="1" xfId="0" applyNumberFormat="1" applyFont="1" applyFill="1" applyBorder="1" applyAlignment="1"/>
    <xf numFmtId="0" fontId="7" fillId="7" borderId="1" xfId="2" applyNumberFormat="1" applyFont="1" applyFill="1" applyBorder="1" applyAlignment="1"/>
    <xf numFmtId="0" fontId="1" fillId="7" borderId="1" xfId="0" applyNumberFormat="1" applyFont="1" applyFill="1" applyBorder="1" applyAlignment="1"/>
    <xf numFmtId="166" fontId="6" fillId="7" borderId="1" xfId="2" applyNumberFormat="1" applyFill="1" applyBorder="1" applyAlignment="1">
      <alignment horizontal="right"/>
    </xf>
    <xf numFmtId="0" fontId="7" fillId="7" borderId="1" xfId="2" applyFont="1" applyFill="1" applyBorder="1" applyAlignment="1"/>
    <xf numFmtId="165" fontId="1" fillId="7" borderId="1" xfId="1" applyNumberFormat="1" applyFont="1" applyFill="1" applyBorder="1" applyAlignment="1">
      <alignment horizontal="center"/>
    </xf>
    <xf numFmtId="166" fontId="1" fillId="7" borderId="1" xfId="2" applyNumberFormat="1" applyFont="1" applyFill="1" applyBorder="1" applyAlignment="1">
      <alignment horizontal="center"/>
    </xf>
    <xf numFmtId="0" fontId="59" fillId="4" borderId="1" xfId="2" applyFont="1" applyFill="1" applyBorder="1" applyAlignment="1"/>
    <xf numFmtId="0" fontId="7" fillId="3" borderId="22" xfId="2" applyFont="1" applyFill="1" applyBorder="1" applyAlignment="1"/>
    <xf numFmtId="0" fontId="1" fillId="3" borderId="30" xfId="0" applyFont="1" applyFill="1" applyBorder="1" applyAlignment="1"/>
    <xf numFmtId="0" fontId="1" fillId="3" borderId="30" xfId="1" applyFont="1" applyFill="1" applyBorder="1" applyAlignment="1">
      <alignment vertical="top"/>
    </xf>
    <xf numFmtId="0" fontId="7" fillId="3" borderId="35" xfId="4" applyFont="1" applyFill="1" applyBorder="1" applyAlignment="1"/>
    <xf numFmtId="0" fontId="7" fillId="4" borderId="25" xfId="2" applyFont="1" applyFill="1" applyBorder="1" applyAlignment="1"/>
    <xf numFmtId="0" fontId="1" fillId="4" borderId="25" xfId="0" applyFont="1" applyFill="1" applyBorder="1" applyAlignment="1"/>
    <xf numFmtId="0" fontId="7" fillId="4" borderId="42" xfId="4" applyFont="1" applyFill="1" applyBorder="1" applyAlignment="1"/>
    <xf numFmtId="0" fontId="7" fillId="4" borderId="11" xfId="2" applyFont="1" applyFill="1" applyBorder="1" applyAlignment="1"/>
    <xf numFmtId="0" fontId="1" fillId="4" borderId="14" xfId="0" applyFont="1" applyFill="1" applyBorder="1" applyAlignment="1"/>
    <xf numFmtId="0" fontId="7" fillId="4" borderId="74" xfId="4" applyFont="1" applyFill="1" applyBorder="1" applyAlignment="1"/>
    <xf numFmtId="0" fontId="7" fillId="4" borderId="11" xfId="2" applyNumberFormat="1" applyFont="1" applyFill="1" applyBorder="1" applyAlignment="1"/>
    <xf numFmtId="0" fontId="1" fillId="4" borderId="14" xfId="0" applyNumberFormat="1" applyFont="1" applyFill="1" applyBorder="1" applyAlignment="1"/>
    <xf numFmtId="0" fontId="7" fillId="4" borderId="14" xfId="4" applyNumberFormat="1" applyFont="1" applyFill="1" applyBorder="1" applyAlignment="1"/>
    <xf numFmtId="0" fontId="1" fillId="4" borderId="40" xfId="0" applyFont="1" applyFill="1" applyBorder="1"/>
    <xf numFmtId="0" fontId="17" fillId="15" borderId="11" xfId="2" quotePrefix="1" applyFont="1" applyFill="1" applyBorder="1" applyAlignment="1"/>
    <xf numFmtId="0" fontId="4" fillId="15" borderId="0" xfId="1" applyFont="1" applyFill="1" applyAlignment="1">
      <alignment vertical="top"/>
    </xf>
    <xf numFmtId="0" fontId="4" fillId="15" borderId="14" xfId="2" quotePrefix="1" applyFont="1" applyFill="1" applyBorder="1" applyAlignment="1"/>
    <xf numFmtId="0" fontId="17" fillId="15" borderId="14" xfId="2" applyFont="1" applyFill="1" applyBorder="1" applyAlignment="1"/>
    <xf numFmtId="0" fontId="4" fillId="15" borderId="14" xfId="0" applyFont="1" applyFill="1" applyBorder="1" applyAlignment="1"/>
    <xf numFmtId="0" fontId="60" fillId="0" borderId="14" xfId="1" applyFont="1" applyFill="1" applyBorder="1" applyAlignment="1"/>
    <xf numFmtId="0" fontId="17" fillId="15" borderId="11" xfId="2" applyFont="1" applyFill="1" applyBorder="1" applyAlignment="1"/>
    <xf numFmtId="0" fontId="17" fillId="15" borderId="40" xfId="2" applyFont="1" applyFill="1" applyBorder="1" applyAlignment="1"/>
    <xf numFmtId="0" fontId="17" fillId="15" borderId="84" xfId="2" applyFont="1" applyFill="1" applyBorder="1" applyAlignment="1"/>
    <xf numFmtId="0" fontId="4" fillId="15" borderId="85" xfId="1" applyFont="1" applyFill="1" applyBorder="1" applyAlignment="1"/>
    <xf numFmtId="0" fontId="7" fillId="0" borderId="17" xfId="2" applyFont="1" applyBorder="1"/>
    <xf numFmtId="0" fontId="7" fillId="0" borderId="25" xfId="2" applyFont="1" applyFill="1" applyBorder="1" applyAlignment="1">
      <alignment vertical="top" wrapText="1"/>
    </xf>
    <xf numFmtId="0" fontId="1" fillId="0" borderId="14" xfId="6" applyFont="1" applyFill="1" applyBorder="1" applyAlignment="1">
      <alignment vertical="top"/>
    </xf>
    <xf numFmtId="0" fontId="7" fillId="4" borderId="40" xfId="2" applyFont="1" applyFill="1" applyBorder="1" applyAlignment="1"/>
    <xf numFmtId="0" fontId="1" fillId="0" borderId="25" xfId="0" applyFont="1" applyBorder="1"/>
    <xf numFmtId="0" fontId="7" fillId="2" borderId="25" xfId="2" applyFont="1" applyFill="1" applyBorder="1" applyAlignment="1"/>
    <xf numFmtId="0" fontId="1" fillId="0" borderId="32" xfId="0" applyFont="1" applyBorder="1"/>
    <xf numFmtId="0" fontId="30" fillId="0" borderId="0" xfId="1" applyFont="1" applyFill="1" applyBorder="1" applyAlignment="1"/>
    <xf numFmtId="0" fontId="30" fillId="0" borderId="118" xfId="1" applyFont="1" applyFill="1" applyBorder="1" applyAlignment="1"/>
    <xf numFmtId="0" fontId="17" fillId="0" borderId="11" xfId="2" applyFont="1" applyFill="1" applyBorder="1" applyAlignment="1">
      <alignment vertical="top"/>
    </xf>
    <xf numFmtId="0" fontId="4" fillId="0" borderId="14" xfId="1" applyFont="1" applyFill="1" applyBorder="1" applyAlignment="1"/>
    <xf numFmtId="0" fontId="17" fillId="0" borderId="40" xfId="2" applyFont="1" applyFill="1" applyBorder="1" applyAlignment="1"/>
    <xf numFmtId="0" fontId="4" fillId="0" borderId="25" xfId="1" applyFont="1" applyFill="1" applyBorder="1" applyAlignment="1"/>
    <xf numFmtId="0" fontId="17" fillId="4" borderId="68" xfId="2" applyFont="1" applyFill="1" applyBorder="1" applyAlignment="1"/>
    <xf numFmtId="0" fontId="1" fillId="9" borderId="0" xfId="2" applyFont="1" applyFill="1" applyBorder="1" applyAlignment="1">
      <alignment vertical="top"/>
    </xf>
    <xf numFmtId="0" fontId="1" fillId="9" borderId="0" xfId="1" applyFont="1" applyFill="1" applyBorder="1" applyAlignment="1">
      <alignment vertical="top"/>
    </xf>
    <xf numFmtId="0" fontId="7" fillId="9" borderId="74" xfId="2" applyFont="1" applyFill="1" applyBorder="1" applyAlignment="1">
      <alignment vertical="top"/>
    </xf>
    <xf numFmtId="0" fontId="17" fillId="0" borderId="73" xfId="2" applyFont="1" applyFill="1" applyBorder="1" applyAlignment="1">
      <alignment vertical="top"/>
    </xf>
    <xf numFmtId="0" fontId="17" fillId="0" borderId="40" xfId="2" applyFont="1" applyBorder="1" applyAlignment="1"/>
    <xf numFmtId="0" fontId="7" fillId="0" borderId="40" xfId="1" applyFont="1" applyFill="1" applyBorder="1" applyAlignment="1"/>
    <xf numFmtId="0" fontId="7" fillId="0" borderId="46" xfId="2" applyFont="1" applyFill="1" applyBorder="1" applyAlignment="1"/>
    <xf numFmtId="0" fontId="17" fillId="0" borderId="52" xfId="2" applyFont="1" applyFill="1" applyBorder="1" applyAlignment="1"/>
    <xf numFmtId="0" fontId="17" fillId="0" borderId="25" xfId="2" applyFont="1" applyFill="1" applyBorder="1" applyAlignment="1">
      <alignment vertical="top"/>
    </xf>
    <xf numFmtId="0" fontId="4" fillId="0" borderId="25" xfId="0" applyFont="1" applyFill="1" applyBorder="1" applyAlignment="1"/>
    <xf numFmtId="0" fontId="17" fillId="0" borderId="40" xfId="2" applyFont="1" applyBorder="1"/>
    <xf numFmtId="0" fontId="30" fillId="0" borderId="46" xfId="1" applyFont="1" applyFill="1" applyBorder="1" applyAlignment="1"/>
    <xf numFmtId="0" fontId="17" fillId="15" borderId="25" xfId="2" applyFont="1" applyFill="1" applyBorder="1" applyAlignment="1"/>
    <xf numFmtId="0" fontId="4" fillId="15" borderId="14" xfId="2" applyFont="1" applyFill="1" applyBorder="1" applyAlignment="1"/>
    <xf numFmtId="0" fontId="17" fillId="15" borderId="46" xfId="4" applyFont="1" applyFill="1" applyBorder="1" applyAlignment="1"/>
    <xf numFmtId="0" fontId="7" fillId="0" borderId="48" xfId="2" applyFont="1" applyFill="1" applyBorder="1" applyAlignment="1"/>
    <xf numFmtId="0" fontId="7" fillId="4" borderId="46" xfId="2" applyFont="1" applyFill="1" applyBorder="1" applyAlignment="1"/>
    <xf numFmtId="0" fontId="7" fillId="0" borderId="52" xfId="2" applyFont="1" applyFill="1" applyBorder="1" applyAlignment="1"/>
    <xf numFmtId="0" fontId="7" fillId="2" borderId="40" xfId="2" applyFont="1" applyFill="1" applyBorder="1" applyAlignment="1"/>
    <xf numFmtId="0" fontId="17" fillId="15" borderId="19" xfId="2" applyFont="1" applyFill="1" applyBorder="1" applyAlignment="1"/>
    <xf numFmtId="0" fontId="17" fillId="0" borderId="67" xfId="2" applyFont="1" applyFill="1" applyBorder="1" applyAlignment="1"/>
    <xf numFmtId="0" fontId="17" fillId="2" borderId="14" xfId="2" applyFont="1" applyFill="1" applyBorder="1" applyAlignment="1"/>
    <xf numFmtId="0" fontId="1" fillId="9" borderId="73" xfId="1" applyFont="1" applyFill="1" applyBorder="1" applyAlignment="1"/>
    <xf numFmtId="0" fontId="1" fillId="9" borderId="25" xfId="1" applyFont="1" applyFill="1" applyBorder="1" applyAlignment="1"/>
    <xf numFmtId="0" fontId="17" fillId="15" borderId="14" xfId="4" applyFont="1" applyFill="1" applyBorder="1" applyAlignment="1"/>
    <xf numFmtId="0" fontId="1" fillId="15" borderId="14" xfId="0" applyFont="1" applyFill="1" applyBorder="1"/>
    <xf numFmtId="0" fontId="1" fillId="15" borderId="40" xfId="0" applyFont="1" applyFill="1" applyBorder="1"/>
    <xf numFmtId="0" fontId="17" fillId="0" borderId="19" xfId="2" applyFont="1" applyFill="1" applyBorder="1" applyAlignment="1"/>
    <xf numFmtId="0" fontId="17" fillId="15" borderId="46" xfId="2" applyFont="1" applyFill="1" applyBorder="1"/>
    <xf numFmtId="0" fontId="17" fillId="15" borderId="40" xfId="4" applyFont="1" applyFill="1" applyBorder="1" applyAlignment="1"/>
    <xf numFmtId="0" fontId="1" fillId="4" borderId="11" xfId="2" applyFont="1" applyFill="1" applyBorder="1" applyAlignment="1"/>
    <xf numFmtId="0" fontId="1" fillId="4" borderId="14" xfId="1" applyFont="1" applyFill="1" applyBorder="1" applyAlignment="1"/>
    <xf numFmtId="0" fontId="1" fillId="2" borderId="14" xfId="1" applyFont="1" applyFill="1" applyBorder="1" applyAlignment="1"/>
    <xf numFmtId="0" fontId="59" fillId="4" borderId="100" xfId="2" applyFont="1" applyFill="1" applyBorder="1" applyAlignment="1"/>
    <xf numFmtId="0" fontId="59" fillId="4" borderId="91" xfId="2" applyFont="1" applyFill="1" applyBorder="1" applyAlignment="1"/>
    <xf numFmtId="0" fontId="61" fillId="26" borderId="40" xfId="2" applyFont="1" applyFill="1" applyBorder="1" applyAlignment="1"/>
    <xf numFmtId="0" fontId="17" fillId="15" borderId="27" xfId="2" applyFont="1" applyFill="1" applyBorder="1" applyAlignment="1"/>
    <xf numFmtId="0" fontId="0" fillId="0" borderId="1" xfId="0" applyFill="1" applyBorder="1" applyAlignment="1">
      <alignment vertical="center" wrapText="1"/>
    </xf>
    <xf numFmtId="0" fontId="62" fillId="0" borderId="19" xfId="2" applyFont="1" applyFill="1" applyBorder="1" applyAlignment="1"/>
    <xf numFmtId="0" fontId="17" fillId="0" borderId="66" xfId="2" applyFont="1" applyFill="1" applyBorder="1" applyAlignment="1"/>
    <xf numFmtId="0" fontId="63" fillId="0" borderId="54" xfId="2" applyFont="1" applyFill="1" applyBorder="1" applyAlignment="1"/>
    <xf numFmtId="0" fontId="1" fillId="0" borderId="121" xfId="5" applyFont="1" applyFill="1" applyBorder="1" applyAlignment="1">
      <alignment textRotation="90"/>
    </xf>
    <xf numFmtId="0" fontId="1" fillId="0" borderId="0" xfId="5" applyFont="1" applyFill="1" applyAlignment="1">
      <alignment horizontal="center" textRotation="90"/>
    </xf>
    <xf numFmtId="0" fontId="1" fillId="0" borderId="0" xfId="5" applyFont="1" applyFill="1" applyAlignment="1">
      <alignment textRotation="90"/>
    </xf>
    <xf numFmtId="0" fontId="1" fillId="0" borderId="106" xfId="8" applyFont="1" applyFill="1" applyBorder="1" applyAlignment="1">
      <alignment textRotation="90"/>
    </xf>
    <xf numFmtId="0" fontId="0" fillId="0" borderId="0" xfId="8" applyFont="1" applyFill="1" applyBorder="1" applyAlignment="1">
      <alignment textRotation="90"/>
    </xf>
    <xf numFmtId="0" fontId="1" fillId="0" borderId="0" xfId="8" applyFont="1" applyFill="1" applyAlignment="1">
      <alignment textRotation="90"/>
    </xf>
  </cellXfs>
  <cellStyles count="18">
    <cellStyle name="Hyperlink" xfId="2" builtinId="8"/>
    <cellStyle name="Hyperlink 2" xfId="4"/>
    <cellStyle name="Hyperlink 2 2" xfId="14"/>
    <cellStyle name="Normal" xfId="0" builtinId="0"/>
    <cellStyle name="Normal 2" xfId="1"/>
    <cellStyle name="Normal 2 2" xfId="13"/>
    <cellStyle name="Normal 2 2 2 2" xfId="8"/>
    <cellStyle name="Normal 2 3" xfId="5"/>
    <cellStyle name="Normal 2 3 2" xfId="12"/>
    <cellStyle name="Normal 2 4 2" xfId="15"/>
    <cellStyle name="Normal 2 5" xfId="7"/>
    <cellStyle name="Normal 2 5 2 2" xfId="16"/>
    <cellStyle name="Normal 3 2" xfId="10"/>
    <cellStyle name="Normal 3 3" xfId="9"/>
    <cellStyle name="Normal 4" xfId="3"/>
    <cellStyle name="Normal 5" xfId="6"/>
    <cellStyle name="Normal 5 3 2" xfId="17"/>
    <cellStyle name="Normal 6 2 2" xfId="11"/>
  </cellStyles>
  <dxfs count="1552">
    <dxf>
      <font>
        <strike/>
        <color rgb="FF00B0F0"/>
      </font>
    </dxf>
    <dxf>
      <font>
        <color theme="0"/>
      </font>
    </dxf>
    <dxf>
      <font>
        <b/>
        <i val="0"/>
      </font>
      <fill>
        <patternFill>
          <bgColor rgb="FFFFFF99"/>
        </patternFill>
      </fill>
    </dxf>
    <dxf>
      <fill>
        <patternFill>
          <bgColor theme="0" tint="-0.14996795556505021"/>
        </patternFill>
      </fill>
    </dxf>
    <dxf>
      <fill>
        <patternFill>
          <bgColor rgb="FFFFCC99"/>
        </patternFill>
      </fill>
    </dxf>
    <dxf>
      <fill>
        <patternFill>
          <bgColor rgb="FFFFFF99"/>
        </patternFill>
      </fill>
    </dxf>
    <dxf>
      <fill>
        <patternFill>
          <bgColor rgb="FFFFFF99"/>
        </patternFill>
      </fill>
    </dxf>
    <dxf>
      <font>
        <color rgb="FF9C0006"/>
      </font>
      <fill>
        <patternFill>
          <bgColor rgb="FFFFC7CE"/>
        </patternFill>
      </fill>
    </dxf>
    <dxf>
      <font>
        <b/>
        <i val="0"/>
      </font>
    </dxf>
    <dxf>
      <fill>
        <patternFill>
          <bgColor rgb="FFCCFFCC"/>
        </patternFill>
      </fill>
    </dxf>
    <dxf>
      <font>
        <color rgb="FFCC0000"/>
      </font>
    </dxf>
    <dxf>
      <fill>
        <patternFill>
          <bgColor rgb="FFFFFF99"/>
        </patternFill>
      </fill>
    </dxf>
    <dxf>
      <fill>
        <patternFill>
          <bgColor theme="0" tint="-0.14996795556505021"/>
        </patternFill>
      </fill>
    </dxf>
    <dxf>
      <fill>
        <patternFill>
          <bgColor rgb="FFFFCC99"/>
        </patternFill>
      </fill>
    </dxf>
    <dxf>
      <font>
        <b/>
        <i val="0"/>
      </font>
    </dxf>
    <dxf>
      <font>
        <color theme="0"/>
      </font>
    </dxf>
    <dxf>
      <font>
        <b/>
        <i val="0"/>
      </font>
    </dxf>
    <dxf>
      <font>
        <color theme="4" tint="-0.24994659260841701"/>
      </font>
    </dxf>
    <dxf>
      <font>
        <color theme="4" tint="-0.24994659260841701"/>
      </font>
    </dxf>
    <dxf>
      <font>
        <b/>
        <i val="0"/>
      </font>
    </dxf>
    <dxf>
      <font>
        <b/>
        <i val="0"/>
      </font>
    </dxf>
    <dxf>
      <font>
        <color rgb="FF9C0006"/>
      </font>
      <fill>
        <patternFill>
          <bgColor rgb="FFFFC7CE"/>
        </patternFill>
      </fill>
    </dxf>
    <dxf>
      <font>
        <color rgb="FF9C0006"/>
      </font>
      <fill>
        <patternFill>
          <bgColor rgb="FFFFC7CE"/>
        </patternFill>
      </fill>
    </dxf>
    <dxf>
      <font>
        <b/>
        <i val="0"/>
        <color rgb="FFFF0000"/>
      </font>
    </dxf>
    <dxf>
      <font>
        <color rgb="FF00B050"/>
      </font>
    </dxf>
    <dxf>
      <font>
        <b/>
        <i val="0"/>
        <color rgb="FFFF000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dxf>
    <dxf>
      <font>
        <color rgb="FF0070C0"/>
      </font>
      <fill>
        <patternFill patternType="none">
          <bgColor auto="1"/>
        </patternFill>
      </fill>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theme="5" tint="0.39994506668294322"/>
      </font>
    </dxf>
    <dxf>
      <font>
        <b/>
        <i val="0"/>
      </font>
    </dxf>
    <dxf>
      <font>
        <b/>
        <i val="0"/>
      </font>
    </dxf>
    <dxf>
      <font>
        <color rgb="FF0070C0"/>
      </font>
    </dxf>
    <dxf>
      <fill>
        <patternFill>
          <bgColor rgb="FFFFFF99"/>
        </patternFill>
      </fill>
    </dxf>
    <dxf>
      <fill>
        <patternFill>
          <bgColor theme="0" tint="-0.14996795556505021"/>
        </patternFill>
      </fill>
    </dxf>
    <dxf>
      <fill>
        <patternFill>
          <bgColor rgb="FFFFCC99"/>
        </patternFill>
      </fill>
    </dxf>
    <dxf>
      <font>
        <b/>
        <i val="0"/>
        <color rgb="FFFF000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ont>
        <b/>
        <i val="0"/>
        <color rgb="FFFF000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FF000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FF000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b/>
        <i val="0"/>
        <color rgb="FFFF0000"/>
      </font>
    </dxf>
    <dxf>
      <font>
        <b/>
        <i val="0"/>
        <color rgb="FFFF0000"/>
      </font>
    </dxf>
    <dxf>
      <font>
        <b/>
        <i val="0"/>
        <color rgb="FFFF0000"/>
      </font>
    </dxf>
    <dxf>
      <font>
        <b/>
        <i val="0"/>
        <color rgb="FFFF0000"/>
      </font>
    </dxf>
    <dxf>
      <font>
        <b/>
        <i val="0"/>
        <color rgb="FFFF0000"/>
      </font>
    </dxf>
    <dxf>
      <font>
        <color rgb="FF00B050"/>
      </font>
    </dxf>
    <dxf>
      <font>
        <b/>
        <i val="0"/>
      </font>
    </dxf>
    <dxf>
      <font>
        <b/>
        <i val="0"/>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1"/>
      </font>
    </dxf>
    <dxf>
      <font>
        <b/>
        <i val="0"/>
      </font>
    </dxf>
    <dxf>
      <font>
        <b/>
        <i val="0"/>
      </font>
    </dxf>
    <dxf>
      <font>
        <b/>
        <i val="0"/>
      </font>
    </dxf>
    <dxf>
      <font>
        <b/>
        <i val="0"/>
      </font>
    </dxf>
    <dxf>
      <font>
        <b/>
        <i val="0"/>
      </font>
    </dxf>
    <dxf>
      <font>
        <b/>
        <i val="0"/>
      </font>
    </dxf>
    <dxf>
      <font>
        <color rgb="FF9C0006"/>
      </font>
      <fill>
        <patternFill>
          <bgColor rgb="FFFFC7CE"/>
        </patternFill>
      </fill>
    </dxf>
    <dxf>
      <font>
        <b/>
        <i val="0"/>
      </font>
    </dxf>
    <dxf>
      <font>
        <b/>
        <i val="0"/>
      </font>
    </dxf>
    <dxf>
      <font>
        <b/>
        <i val="0"/>
      </font>
    </dxf>
    <dxf>
      <font>
        <b/>
        <i val="0"/>
      </font>
    </dxf>
    <dxf>
      <font>
        <b/>
        <i val="0"/>
      </font>
    </dxf>
    <dxf>
      <font>
        <b/>
        <i val="0"/>
      </font>
    </dxf>
    <dxf>
      <font>
        <b/>
        <i val="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ont>
        <b/>
        <i val="0"/>
        <color rgb="FFFF0000"/>
      </font>
    </dxf>
    <dxf>
      <font>
        <b/>
        <i val="0"/>
        <color rgb="FFFF0000"/>
      </font>
    </dxf>
    <dxf>
      <font>
        <b/>
        <i val="0"/>
        <color rgb="FFFF0000"/>
      </font>
    </dxf>
    <dxf>
      <font>
        <b/>
        <i val="0"/>
        <color rgb="FFFF0000"/>
      </font>
    </dxf>
    <dxf>
      <font>
        <b/>
        <i val="0"/>
        <color rgb="FFFF0000"/>
      </font>
    </dxf>
    <dxf>
      <font>
        <color rgb="FF00B05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ont>
        <b/>
        <i val="0"/>
        <color rgb="FFFF0000"/>
      </font>
    </dxf>
    <dxf>
      <font>
        <color rgb="FF00B050"/>
      </font>
    </dxf>
    <dxf>
      <font>
        <b/>
        <i val="0"/>
        <color rgb="FFFF000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FF0000"/>
      </font>
    </dxf>
    <dxf>
      <font>
        <color rgb="FF0070C0"/>
      </font>
      <fill>
        <patternFill patternType="none">
          <bgColor auto="1"/>
        </patternFill>
      </fill>
    </dxf>
    <dxf>
      <font>
        <b/>
        <i val="0"/>
        <color rgb="FFFF0000"/>
      </font>
    </dxf>
    <dxf>
      <font>
        <b/>
        <i val="0"/>
      </font>
    </dxf>
    <dxf>
      <font>
        <color rgb="FFFF0000"/>
      </font>
    </dxf>
    <dxf>
      <font>
        <b/>
        <i val="0"/>
      </font>
    </dxf>
    <dxf>
      <font>
        <b/>
        <i val="0"/>
      </font>
    </dxf>
    <dxf>
      <font>
        <b/>
        <i val="0"/>
      </font>
    </dxf>
    <dxf>
      <font>
        <color rgb="FF9C0006"/>
      </font>
      <fill>
        <patternFill>
          <bgColor rgb="FFFFC7CE"/>
        </patternFill>
      </fill>
    </dxf>
    <dxf>
      <font>
        <b/>
        <i val="0"/>
      </font>
    </dxf>
    <dxf>
      <font>
        <color rgb="FFFF0000"/>
      </font>
    </dxf>
    <dxf>
      <font>
        <color rgb="FFFF000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ont>
        <b/>
        <i val="0"/>
        <color rgb="FFFF0000"/>
      </font>
    </dxf>
    <dxf>
      <font>
        <color rgb="FF00B050"/>
      </font>
    </dxf>
    <dxf>
      <font>
        <b/>
        <i val="0"/>
        <color rgb="FFFF000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fill>
        <patternFill>
          <bgColor rgb="FFFFFF99"/>
        </patternFill>
      </fill>
    </dxf>
    <dxf>
      <fill>
        <patternFill>
          <bgColor theme="0" tint="-0.14996795556505021"/>
        </patternFill>
      </fill>
    </dxf>
    <dxf>
      <fill>
        <patternFill>
          <bgColor rgb="FFFFCC99"/>
        </patternFill>
      </fill>
    </dxf>
    <dxf>
      <font>
        <strike/>
        <color rgb="FF00B0F0"/>
      </font>
    </dxf>
    <dxf>
      <font>
        <strike/>
        <color rgb="FF00B0F0"/>
      </font>
    </dxf>
    <dxf>
      <font>
        <strike/>
        <color rgb="FF00B0F0"/>
      </font>
    </dxf>
    <dxf>
      <font>
        <strike/>
        <color rgb="FF00B0F0"/>
      </font>
    </dxf>
    <dxf>
      <font>
        <color theme="0"/>
      </font>
    </dxf>
    <dxf>
      <font>
        <color rgb="FF9C0006"/>
      </font>
      <fill>
        <patternFill>
          <bgColor rgb="FFFFC7CE"/>
        </patternFill>
      </fill>
    </dxf>
    <dxf>
      <font>
        <color rgb="FFCC0000"/>
      </font>
    </dxf>
    <dxf>
      <fill>
        <patternFill>
          <bgColor rgb="FFCCFFCC"/>
        </patternFill>
      </fill>
    </dxf>
    <dxf>
      <font>
        <color rgb="FF92D050"/>
      </font>
    </dxf>
    <dxf>
      <font>
        <color theme="0"/>
      </font>
    </dxf>
    <dxf>
      <font>
        <color theme="5" tint="0.39994506668294322"/>
      </font>
    </dxf>
    <dxf>
      <font>
        <color theme="0"/>
      </font>
    </dxf>
    <dxf>
      <font>
        <color rgb="FF0070C0"/>
      </font>
    </dxf>
    <dxf>
      <font>
        <color rgb="FF0070C0"/>
      </font>
    </dxf>
    <dxf>
      <font>
        <color theme="0" tint="-0.14996795556505021"/>
      </font>
    </dxf>
    <dxf>
      <font>
        <b/>
        <i val="0"/>
      </font>
    </dxf>
    <dxf>
      <font>
        <b/>
        <i val="0"/>
      </font>
    </dxf>
    <dxf>
      <font>
        <b/>
        <i val="0"/>
      </font>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ont>
        <b/>
        <i val="0"/>
      </font>
    </dxf>
    <dxf>
      <fill>
        <patternFill>
          <bgColor theme="0" tint="-4.9989318521683403E-2"/>
        </patternFill>
      </fill>
    </dxf>
    <dxf>
      <font>
        <b/>
        <i val="0"/>
      </font>
    </dxf>
    <dxf>
      <fill>
        <patternFill>
          <bgColor theme="0" tint="-4.9989318521683403E-2"/>
        </patternFill>
      </fill>
    </dxf>
    <dxf>
      <fill>
        <patternFill>
          <bgColor theme="0" tint="-4.9989318521683403E-2"/>
        </patternFill>
      </fill>
    </dxf>
    <dxf>
      <font>
        <b/>
        <i val="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b/>
        <i val="0"/>
        <color rgb="FFFF000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ont>
        <b/>
        <i val="0"/>
        <color rgb="FFFF0000"/>
      </font>
    </dxf>
    <dxf>
      <font>
        <color rgb="FF00B050"/>
      </font>
    </dxf>
    <dxf>
      <font>
        <b/>
        <i val="0"/>
        <color rgb="FFFF0000"/>
      </font>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0" tint="-4.9989318521683403E-2"/>
        </patternFill>
      </fill>
    </dxf>
    <dxf>
      <font>
        <b/>
        <i val="0"/>
      </font>
    </dxf>
    <dxf>
      <font>
        <b/>
        <i val="0"/>
      </font>
    </dxf>
    <dxf>
      <fill>
        <patternFill>
          <bgColor theme="0" tint="-4.9989318521683403E-2"/>
        </patternFill>
      </fill>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b/>
        <i val="0"/>
      </font>
    </dxf>
    <dxf>
      <fill>
        <patternFill>
          <bgColor theme="0" tint="-4.9989318521683403E-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b/>
        <i val="0"/>
        <color rgb="FFFF0000"/>
      </font>
    </dxf>
    <dxf>
      <font>
        <b/>
        <i val="0"/>
        <color rgb="FFFF0000"/>
      </font>
    </dxf>
    <dxf>
      <font>
        <b/>
        <i val="0"/>
        <color rgb="FFFF0000"/>
      </font>
    </dxf>
    <dxf>
      <font>
        <b/>
        <i val="0"/>
        <color rgb="FFFF0000"/>
      </font>
    </dxf>
    <dxf>
      <font>
        <b/>
        <i val="0"/>
        <color rgb="FFFF0000"/>
      </font>
    </dxf>
    <dxf>
      <font>
        <color rgb="FF00B05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ont>
        <b/>
        <i val="0"/>
        <color rgb="FFFF0000"/>
      </font>
    </dxf>
    <dxf>
      <font>
        <color rgb="FF00B050"/>
      </font>
    </dxf>
    <dxf>
      <font>
        <b/>
        <i val="0"/>
        <color rgb="FFFF0000"/>
      </font>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color rgb="FFFF0000"/>
      </font>
    </dxf>
    <dxf>
      <font>
        <b/>
        <i val="0"/>
        <color rgb="FFFF0000"/>
      </font>
    </dxf>
    <dxf>
      <font>
        <b/>
        <i val="0"/>
        <color rgb="FFFF0000"/>
      </font>
    </dxf>
    <dxf>
      <font>
        <b/>
        <i val="0"/>
        <color rgb="FFFF0000"/>
      </font>
    </dxf>
    <dxf>
      <font>
        <b/>
        <i val="0"/>
        <color rgb="FFFF0000"/>
      </font>
    </dxf>
    <dxf>
      <font>
        <color rgb="FF00B050"/>
      </font>
    </dxf>
    <dxf>
      <font>
        <b/>
        <i val="0"/>
      </font>
    </dxf>
    <dxf>
      <font>
        <b/>
        <i val="0"/>
      </font>
    </dxf>
    <dxf>
      <fill>
        <patternFill>
          <bgColor theme="8" tint="0.79998168889431442"/>
        </patternFill>
      </fill>
    </dxf>
    <dxf>
      <fill>
        <patternFill>
          <bgColor theme="9" tint="0.79998168889431442"/>
        </patternFill>
      </fill>
    </dxf>
    <dxf>
      <fill>
        <patternFill>
          <bgColor theme="6" tint="0.79998168889431442"/>
        </patternFill>
      </fill>
    </dxf>
    <dxf>
      <fill>
        <patternFill>
          <bgColor theme="7"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1"/>
      </font>
    </dxf>
    <dxf>
      <font>
        <b/>
        <i val="0"/>
      </font>
    </dxf>
    <dxf>
      <font>
        <b/>
        <i val="0"/>
      </font>
    </dxf>
    <dxf>
      <font>
        <b/>
        <i val="0"/>
      </font>
    </dxf>
    <dxf>
      <font>
        <b/>
        <i val="0"/>
      </font>
    </dxf>
    <dxf>
      <font>
        <b/>
        <i val="0"/>
      </font>
    </dxf>
    <dxf>
      <font>
        <b/>
        <i val="0"/>
      </font>
    </dxf>
    <dxf>
      <font>
        <color rgb="FF9C0006"/>
      </font>
      <fill>
        <patternFill>
          <bgColor rgb="FFFFC7CE"/>
        </patternFill>
      </fill>
    </dxf>
    <dxf>
      <font>
        <b/>
        <i val="0"/>
      </font>
    </dxf>
    <dxf>
      <font>
        <b/>
        <i val="0"/>
      </font>
    </dxf>
    <dxf>
      <font>
        <b/>
        <i val="0"/>
      </font>
    </dxf>
    <dxf>
      <font>
        <b/>
        <i val="0"/>
      </font>
    </dxf>
    <dxf>
      <font>
        <b/>
        <i val="0"/>
      </font>
    </dxf>
    <dxf>
      <font>
        <b/>
        <i val="0"/>
      </font>
    </dxf>
    <dxf>
      <font>
        <b/>
        <i val="0"/>
      </font>
    </dxf>
    <dxf>
      <font>
        <b/>
        <i val="0"/>
      </font>
    </dxf>
    <dxf>
      <font>
        <b/>
        <i val="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8" tint="0.59996337778862885"/>
        </patternFill>
      </fill>
    </dxf>
    <dxf>
      <fill>
        <patternFill>
          <bgColor theme="9" tint="0.59996337778862885"/>
        </patternFill>
      </fill>
    </dxf>
    <dxf>
      <fill>
        <patternFill>
          <bgColor theme="6" tint="0.59996337778862885"/>
        </patternFill>
      </fill>
    </dxf>
    <dxf>
      <fill>
        <patternFill>
          <bgColor theme="7" tint="0.59996337778862885"/>
        </patternFill>
      </fill>
    </dxf>
    <dxf>
      <font>
        <color rgb="FF0070C0"/>
      </font>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9C0006"/>
      </font>
      <fill>
        <patternFill>
          <bgColor rgb="FFFFC7CE"/>
        </patternFill>
      </fill>
    </dxf>
    <dxf>
      <fill>
        <patternFill patternType="none">
          <bgColor auto="1"/>
        </patternFill>
      </fill>
    </dxf>
    <dxf>
      <font>
        <b/>
        <i val="0"/>
      </font>
      <fill>
        <patternFill>
          <bgColor rgb="FFFFFF99"/>
        </patternFill>
      </fill>
    </dxf>
    <dxf>
      <fill>
        <patternFill>
          <bgColor theme="0" tint="-0.14996795556505021"/>
        </patternFill>
      </fill>
    </dxf>
    <dxf>
      <fill>
        <patternFill>
          <bgColor rgb="FFFFCC99"/>
        </patternFill>
      </fill>
    </dxf>
    <dxf>
      <font>
        <color rgb="FF0070C0"/>
      </font>
      <fill>
        <patternFill patternType="none">
          <bgColor auto="1"/>
        </patternFill>
      </fill>
    </dxf>
    <dxf>
      <font>
        <color rgb="FF0070C0"/>
      </font>
    </dxf>
    <dxf>
      <font>
        <b/>
        <i val="0"/>
        <color rgb="FFFF0000"/>
      </font>
    </dxf>
    <dxf>
      <font>
        <color rgb="FF00B050"/>
      </font>
    </dxf>
    <dxf>
      <font>
        <b/>
        <i val="0"/>
        <color rgb="FFFF0000"/>
      </font>
    </dxf>
    <dxf>
      <fill>
        <patternFill>
          <bgColor rgb="FFFF0000"/>
        </patternFill>
      </fill>
    </dxf>
    <dxf>
      <fill>
        <patternFill>
          <bgColor rgb="FFFF0000"/>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bgColor rgb="FFFFCCCC"/>
        </patternFill>
      </fill>
    </dxf>
    <dxf>
      <fill>
        <patternFill>
          <bgColor rgb="FFCCFFCC"/>
        </patternFill>
      </fill>
    </dxf>
    <dxf>
      <fill>
        <patternFill>
          <bgColor rgb="FFFFFF99"/>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FFFF99"/>
        </patternFill>
      </fill>
    </dxf>
    <dxf>
      <fill>
        <patternFill>
          <bgColor theme="0" tint="-0.14996795556505021"/>
        </patternFill>
      </fill>
    </dxf>
    <dxf>
      <fill>
        <patternFill>
          <bgColor rgb="FFFFCC99"/>
        </patternFill>
      </fill>
    </dxf>
    <dxf>
      <font>
        <color rgb="FF9C0006"/>
      </font>
      <fill>
        <patternFill>
          <bgColor rgb="FFFFC7CE"/>
        </patternFill>
      </fill>
    </dxf>
    <dxf>
      <font>
        <color rgb="FFCC0000"/>
      </font>
    </dxf>
    <dxf>
      <fill>
        <patternFill>
          <bgColor rgb="FFCCFFCC"/>
        </patternFill>
      </fill>
    </dxf>
    <dxf>
      <font>
        <b/>
        <i val="0"/>
      </font>
    </dxf>
    <dxf>
      <font>
        <b/>
        <i val="0"/>
      </font>
      <fill>
        <patternFill>
          <bgColor rgb="FFFFFF99"/>
        </patternFill>
      </fill>
    </dxf>
    <dxf>
      <fill>
        <patternFill>
          <bgColor theme="0" tint="-0.14996795556505021"/>
        </patternFill>
      </fill>
    </dxf>
    <dxf>
      <fill>
        <patternFill>
          <bgColor rgb="FFFFCC99"/>
        </patternFill>
      </fill>
    </dxf>
    <dxf>
      <font>
        <strike/>
        <color rgb="FF00B0F0"/>
      </font>
    </dxf>
    <dxf>
      <font>
        <strike/>
        <color rgb="FF00B0F0"/>
      </font>
    </dxf>
    <dxf>
      <font>
        <strike/>
        <color rgb="FF00B0F0"/>
      </font>
    </dxf>
    <dxf>
      <font>
        <strike/>
        <color rgb="FF00B0F0"/>
      </font>
    </dxf>
    <dxf>
      <font>
        <color theme="0"/>
      </font>
    </dxf>
    <dxf>
      <font>
        <color rgb="FF92D050"/>
      </font>
    </dxf>
    <dxf>
      <font>
        <color theme="0"/>
      </font>
    </dxf>
    <dxf>
      <fill>
        <patternFill>
          <bgColor rgb="FFFFFF99"/>
        </patternFill>
      </fill>
    </dxf>
    <dxf>
      <font>
        <color theme="5" tint="0.39994506668294322"/>
      </font>
    </dxf>
    <dxf>
      <font>
        <color theme="0"/>
      </font>
    </dxf>
    <dxf>
      <fill>
        <patternFill>
          <bgColor rgb="FFFFFF99"/>
        </patternFill>
      </fill>
    </dxf>
    <dxf>
      <font>
        <b/>
        <i val="0"/>
      </font>
      <fill>
        <patternFill>
          <bgColor rgb="FFFFFF99"/>
        </patternFill>
      </fill>
    </dxf>
    <dxf>
      <fill>
        <patternFill>
          <bgColor theme="0" tint="-0.14996795556505021"/>
        </patternFill>
      </fill>
    </dxf>
    <dxf>
      <fill>
        <patternFill>
          <bgColor rgb="FFFFCC99"/>
        </patternFill>
      </fill>
    </dxf>
    <dxf>
      <font>
        <strike/>
        <color rgb="FF00B0F0"/>
      </font>
    </dxf>
    <dxf>
      <font>
        <strike/>
        <color rgb="FF00B0F0"/>
      </font>
    </dxf>
    <dxf>
      <font>
        <strike/>
        <color rgb="FF00B0F0"/>
      </font>
    </dxf>
    <dxf>
      <font>
        <strike/>
        <color rgb="FF00B0F0"/>
      </font>
    </dxf>
    <dxf>
      <font>
        <color theme="0"/>
      </font>
    </dxf>
    <dxf>
      <font>
        <color rgb="FF0070C0"/>
      </font>
    </dxf>
    <dxf>
      <font>
        <color rgb="FF0070C0"/>
      </font>
    </dxf>
    <dxf>
      <font>
        <color theme="0" tint="-0.14996795556505021"/>
      </font>
    </dxf>
    <dxf>
      <font>
        <b/>
        <i val="0"/>
      </font>
    </dxf>
    <dxf>
      <font>
        <b/>
        <i val="0"/>
      </font>
    </dxf>
    <dxf>
      <font>
        <b/>
        <i val="0"/>
      </font>
    </dxf>
    <dxf>
      <font>
        <b/>
        <i val="0"/>
      </font>
    </dxf>
    <dxf>
      <font>
        <b/>
        <i val="0"/>
        <color rgb="FFFF0000"/>
      </font>
    </dxf>
  </dxfs>
  <tableStyles count="0" defaultTableStyle="TableStyleMedium2" defaultPivotStyle="PivotStyleLight16"/>
  <colors>
    <mruColors>
      <color rgb="FFFFCC99"/>
      <color rgb="FFFFFF99"/>
      <color rgb="FF99FF99"/>
      <color rgb="FFCCFF99"/>
      <color rgb="FFCCFFCC"/>
      <color rgb="FF00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gif"/><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1.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2.gif"/><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0</xdr:col>
      <xdr:colOff>260250</xdr:colOff>
      <xdr:row>1</xdr:row>
      <xdr:rowOff>160348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241200" cy="3032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895349</xdr:colOff>
      <xdr:row>3</xdr:row>
      <xdr:rowOff>85324</xdr:rowOff>
    </xdr:from>
    <xdr:to>
      <xdr:col>10</xdr:col>
      <xdr:colOff>1258949</xdr:colOff>
      <xdr:row>5</xdr:row>
      <xdr:rowOff>125074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1524" y="590149"/>
          <a:ext cx="363600" cy="363600"/>
        </a:xfrm>
        <a:prstGeom prst="rect">
          <a:avLst/>
        </a:prstGeom>
      </xdr:spPr>
    </xdr:pic>
    <xdr:clientData/>
  </xdr:twoCellAnchor>
  <xdr:twoCellAnchor editAs="oneCell">
    <xdr:from>
      <xdr:col>0</xdr:col>
      <xdr:colOff>19050</xdr:colOff>
      <xdr:row>0</xdr:row>
      <xdr:rowOff>19051</xdr:rowOff>
    </xdr:from>
    <xdr:to>
      <xdr:col>0</xdr:col>
      <xdr:colOff>252307</xdr:colOff>
      <xdr:row>1</xdr:row>
      <xdr:rowOff>159526</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0" y="19051"/>
          <a:ext cx="233257" cy="302400"/>
        </a:xfrm>
        <a:prstGeom prst="rect">
          <a:avLst/>
        </a:prstGeom>
      </xdr:spPr>
    </xdr:pic>
    <xdr:clientData/>
  </xdr:twoCellAnchor>
  <xdr:twoCellAnchor editAs="oneCell">
    <xdr:from>
      <xdr:col>11</xdr:col>
      <xdr:colOff>0</xdr:colOff>
      <xdr:row>54</xdr:row>
      <xdr:rowOff>19050</xdr:rowOff>
    </xdr:from>
    <xdr:to>
      <xdr:col>11</xdr:col>
      <xdr:colOff>182554</xdr:colOff>
      <xdr:row>55</xdr:row>
      <xdr:rowOff>88900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00625" y="8743950"/>
          <a:ext cx="182554" cy="231775"/>
        </a:xfrm>
        <a:prstGeom prst="rect">
          <a:avLst/>
        </a:prstGeom>
      </xdr:spPr>
    </xdr:pic>
    <xdr:clientData/>
  </xdr:twoCellAnchor>
  <xdr:twoCellAnchor editAs="oneCell">
    <xdr:from>
      <xdr:col>13</xdr:col>
      <xdr:colOff>0</xdr:colOff>
      <xdr:row>54</xdr:row>
      <xdr:rowOff>19050</xdr:rowOff>
    </xdr:from>
    <xdr:to>
      <xdr:col>13</xdr:col>
      <xdr:colOff>182554</xdr:colOff>
      <xdr:row>55</xdr:row>
      <xdr:rowOff>88900</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96050" y="8743950"/>
          <a:ext cx="182554" cy="231775"/>
        </a:xfrm>
        <a:prstGeom prst="rect">
          <a:avLst/>
        </a:prstGeom>
      </xdr:spPr>
    </xdr:pic>
    <xdr:clientData/>
  </xdr:twoCellAnchor>
  <xdr:oneCellAnchor>
    <xdr:from>
      <xdr:col>11</xdr:col>
      <xdr:colOff>0</xdr:colOff>
      <xdr:row>66</xdr:row>
      <xdr:rowOff>19050</xdr:rowOff>
    </xdr:from>
    <xdr:ext cx="184663" cy="301292"/>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00625" y="10725150"/>
          <a:ext cx="184663" cy="301292"/>
        </a:xfrm>
        <a:prstGeom prst="rect">
          <a:avLst/>
        </a:prstGeom>
      </xdr:spPr>
    </xdr:pic>
    <xdr:clientData/>
  </xdr:oneCellAnchor>
  <xdr:twoCellAnchor editAs="oneCell">
    <xdr:from>
      <xdr:col>6</xdr:col>
      <xdr:colOff>19050</xdr:colOff>
      <xdr:row>96</xdr:row>
      <xdr:rowOff>0</xdr:rowOff>
    </xdr:from>
    <xdr:to>
      <xdr:col>6</xdr:col>
      <xdr:colOff>371475</xdr:colOff>
      <xdr:row>97</xdr:row>
      <xdr:rowOff>0</xdr:rowOff>
    </xdr:to>
    <xdr:pic>
      <xdr:nvPicPr>
        <xdr:cNvPr id="8" name="Pictur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43125" y="15335250"/>
          <a:ext cx="352425" cy="161925"/>
        </a:xfrm>
        <a:prstGeom prst="rect">
          <a:avLst/>
        </a:prstGeom>
      </xdr:spPr>
    </xdr:pic>
    <xdr:clientData/>
  </xdr:twoCellAnchor>
  <xdr:oneCellAnchor>
    <xdr:from>
      <xdr:col>6</xdr:col>
      <xdr:colOff>85725</xdr:colOff>
      <xdr:row>6</xdr:row>
      <xdr:rowOff>38100</xdr:rowOff>
    </xdr:from>
    <xdr:ext cx="988482" cy="444817"/>
    <xdr:pic>
      <xdr:nvPicPr>
        <xdr:cNvPr id="9" name="Picture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209800" y="1019175"/>
          <a:ext cx="988482" cy="444817"/>
        </a:xfrm>
        <a:prstGeom prst="rect">
          <a:avLst/>
        </a:prstGeom>
      </xdr:spPr>
    </xdr:pic>
    <xdr:clientData/>
  </xdr:oneCellAnchor>
  <xdr:twoCellAnchor editAs="oneCell">
    <xdr:from>
      <xdr:col>6</xdr:col>
      <xdr:colOff>19050</xdr:colOff>
      <xdr:row>105</xdr:row>
      <xdr:rowOff>0</xdr:rowOff>
    </xdr:from>
    <xdr:to>
      <xdr:col>6</xdr:col>
      <xdr:colOff>371475</xdr:colOff>
      <xdr:row>106</xdr:row>
      <xdr:rowOff>0</xdr:rowOff>
    </xdr:to>
    <xdr:pic>
      <xdr:nvPicPr>
        <xdr:cNvPr id="10" name="Picture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43125" y="17345025"/>
          <a:ext cx="352425" cy="161925"/>
        </a:xfrm>
        <a:prstGeom prst="rect">
          <a:avLst/>
        </a:prstGeom>
      </xdr:spPr>
    </xdr:pic>
    <xdr:clientData/>
  </xdr:twoCellAnchor>
  <xdr:twoCellAnchor editAs="oneCell">
    <xdr:from>
      <xdr:col>6</xdr:col>
      <xdr:colOff>0</xdr:colOff>
      <xdr:row>62</xdr:row>
      <xdr:rowOff>152400</xdr:rowOff>
    </xdr:from>
    <xdr:to>
      <xdr:col>6</xdr:col>
      <xdr:colOff>352425</xdr:colOff>
      <xdr:row>63</xdr:row>
      <xdr:rowOff>159639</xdr:rowOff>
    </xdr:to>
    <xdr:pic>
      <xdr:nvPicPr>
        <xdr:cNvPr id="11" name="Picture 1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24075" y="10191750"/>
          <a:ext cx="352425" cy="169164"/>
        </a:xfrm>
        <a:prstGeom prst="rect">
          <a:avLst/>
        </a:prstGeom>
      </xdr:spPr>
    </xdr:pic>
    <xdr:clientData/>
  </xdr:twoCellAnchor>
  <xdr:oneCellAnchor>
    <xdr:from>
      <xdr:col>8</xdr:col>
      <xdr:colOff>0</xdr:colOff>
      <xdr:row>116</xdr:row>
      <xdr:rowOff>0</xdr:rowOff>
    </xdr:from>
    <xdr:ext cx="352425" cy="169164"/>
    <xdr:pic>
      <xdr:nvPicPr>
        <xdr:cNvPr id="12" name="Picture 1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71850" y="18669000"/>
          <a:ext cx="352425" cy="169164"/>
        </a:xfrm>
        <a:prstGeom prst="rect">
          <a:avLst/>
        </a:prstGeom>
      </xdr:spPr>
    </xdr:pic>
    <xdr:clientData/>
  </xdr:oneCellAnchor>
  <xdr:oneCellAnchor>
    <xdr:from>
      <xdr:col>12</xdr:col>
      <xdr:colOff>1000125</xdr:colOff>
      <xdr:row>74</xdr:row>
      <xdr:rowOff>38100</xdr:rowOff>
    </xdr:from>
    <xdr:ext cx="255968" cy="171451"/>
    <xdr:pic>
      <xdr:nvPicPr>
        <xdr:cNvPr id="13" name="Picture 1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00775" y="12068175"/>
          <a:ext cx="255968" cy="171451"/>
        </a:xfrm>
        <a:prstGeom prst="rect">
          <a:avLst/>
        </a:prstGeom>
      </xdr:spPr>
    </xdr:pic>
    <xdr:clientData/>
  </xdr:oneCellAnchor>
  <xdr:oneCellAnchor>
    <xdr:from>
      <xdr:col>10</xdr:col>
      <xdr:colOff>1038223</xdr:colOff>
      <xdr:row>71</xdr:row>
      <xdr:rowOff>28576</xdr:rowOff>
    </xdr:from>
    <xdr:ext cx="176400" cy="288655"/>
    <xdr:pic>
      <xdr:nvPicPr>
        <xdr:cNvPr id="14" name="Picture 1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24398" y="11553826"/>
          <a:ext cx="176400" cy="288655"/>
        </a:xfrm>
        <a:prstGeom prst="rect">
          <a:avLst/>
        </a:prstGeom>
      </xdr:spPr>
    </xdr:pic>
    <xdr:clientData/>
  </xdr:oneCellAnchor>
  <xdr:oneCellAnchor>
    <xdr:from>
      <xdr:col>10</xdr:col>
      <xdr:colOff>1104900</xdr:colOff>
      <xdr:row>88</xdr:row>
      <xdr:rowOff>38031</xdr:rowOff>
    </xdr:from>
    <xdr:ext cx="362289" cy="247719"/>
    <xdr:pic>
      <xdr:nvPicPr>
        <xdr:cNvPr id="16" name="Picture 1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791075" y="14220756"/>
          <a:ext cx="362289" cy="247719"/>
        </a:xfrm>
        <a:prstGeom prst="rect">
          <a:avLst/>
        </a:prstGeom>
      </xdr:spPr>
    </xdr:pic>
    <xdr:clientData/>
  </xdr:oneCellAnchor>
  <xdr:oneCellAnchor>
    <xdr:from>
      <xdr:col>10</xdr:col>
      <xdr:colOff>1285876</xdr:colOff>
      <xdr:row>11</xdr:row>
      <xdr:rowOff>19050</xdr:rowOff>
    </xdr:from>
    <xdr:ext cx="206129" cy="255600"/>
    <xdr:pic>
      <xdr:nvPicPr>
        <xdr:cNvPr id="17" name="Picture 1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972051" y="1828800"/>
          <a:ext cx="206129" cy="255600"/>
        </a:xfrm>
        <a:prstGeom prst="rect">
          <a:avLst/>
        </a:prstGeom>
      </xdr:spPr>
    </xdr:pic>
    <xdr:clientData/>
  </xdr:oneCellAnchor>
  <xdr:oneCellAnchor>
    <xdr:from>
      <xdr:col>12</xdr:col>
      <xdr:colOff>1266826</xdr:colOff>
      <xdr:row>11</xdr:row>
      <xdr:rowOff>19050</xdr:rowOff>
    </xdr:from>
    <xdr:ext cx="206129" cy="255600"/>
    <xdr:pic>
      <xdr:nvPicPr>
        <xdr:cNvPr id="18" name="Picture 1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67476" y="1828800"/>
          <a:ext cx="206129" cy="255600"/>
        </a:xfrm>
        <a:prstGeom prst="rect">
          <a:avLst/>
        </a:prstGeom>
      </xdr:spPr>
    </xdr:pic>
    <xdr:clientData/>
  </xdr:oneCellAnchor>
  <xdr:oneCellAnchor>
    <xdr:from>
      <xdr:col>10</xdr:col>
      <xdr:colOff>1019175</xdr:colOff>
      <xdr:row>57</xdr:row>
      <xdr:rowOff>38100</xdr:rowOff>
    </xdr:from>
    <xdr:ext cx="255968" cy="171451"/>
    <xdr:pic>
      <xdr:nvPicPr>
        <xdr:cNvPr id="19" name="Picture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05350" y="9258300"/>
          <a:ext cx="255968" cy="171451"/>
        </a:xfrm>
        <a:prstGeom prst="rect">
          <a:avLst/>
        </a:prstGeom>
      </xdr:spPr>
    </xdr:pic>
    <xdr:clientData/>
  </xdr:oneCellAnchor>
  <xdr:oneCellAnchor>
    <xdr:from>
      <xdr:col>12</xdr:col>
      <xdr:colOff>1000125</xdr:colOff>
      <xdr:row>57</xdr:row>
      <xdr:rowOff>38100</xdr:rowOff>
    </xdr:from>
    <xdr:ext cx="255968" cy="171451"/>
    <xdr:pic>
      <xdr:nvPicPr>
        <xdr:cNvPr id="20" name="Picture 1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00775" y="9258300"/>
          <a:ext cx="255968" cy="171451"/>
        </a:xfrm>
        <a:prstGeom prst="rect">
          <a:avLst/>
        </a:prstGeom>
      </xdr:spPr>
    </xdr:pic>
    <xdr:clientData/>
  </xdr:oneCellAnchor>
  <xdr:oneCellAnchor>
    <xdr:from>
      <xdr:col>10</xdr:col>
      <xdr:colOff>1009650</xdr:colOff>
      <xdr:row>68</xdr:row>
      <xdr:rowOff>38100</xdr:rowOff>
    </xdr:from>
    <xdr:ext cx="255968" cy="171451"/>
    <xdr:pic>
      <xdr:nvPicPr>
        <xdr:cNvPr id="21" name="Picture 2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95825" y="11068050"/>
          <a:ext cx="255968" cy="171451"/>
        </a:xfrm>
        <a:prstGeom prst="rect">
          <a:avLst/>
        </a:prstGeom>
      </xdr:spPr>
    </xdr:pic>
    <xdr:clientData/>
  </xdr:oneCellAnchor>
  <xdr:oneCellAnchor>
    <xdr:from>
      <xdr:col>12</xdr:col>
      <xdr:colOff>1000125</xdr:colOff>
      <xdr:row>68</xdr:row>
      <xdr:rowOff>38100</xdr:rowOff>
    </xdr:from>
    <xdr:ext cx="255968" cy="171451"/>
    <xdr:pic>
      <xdr:nvPicPr>
        <xdr:cNvPr id="22" name="Picture 2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00775" y="11068050"/>
          <a:ext cx="255968" cy="171451"/>
        </a:xfrm>
        <a:prstGeom prst="rect">
          <a:avLst/>
        </a:prstGeom>
      </xdr:spPr>
    </xdr:pic>
    <xdr:clientData/>
  </xdr:oneCellAnchor>
  <xdr:oneCellAnchor>
    <xdr:from>
      <xdr:col>12</xdr:col>
      <xdr:colOff>1047750</xdr:colOff>
      <xdr:row>19</xdr:row>
      <xdr:rowOff>152400</xdr:rowOff>
    </xdr:from>
    <xdr:ext cx="184663" cy="301292"/>
    <xdr:pic>
      <xdr:nvPicPr>
        <xdr:cNvPr id="23" name="Picture 2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48400" y="3276600"/>
          <a:ext cx="184663" cy="301292"/>
        </a:xfrm>
        <a:prstGeom prst="rect">
          <a:avLst/>
        </a:prstGeom>
      </xdr:spPr>
    </xdr:pic>
    <xdr:clientData/>
  </xdr:oneCellAnchor>
  <xdr:oneCellAnchor>
    <xdr:from>
      <xdr:col>10</xdr:col>
      <xdr:colOff>1000125</xdr:colOff>
      <xdr:row>19</xdr:row>
      <xdr:rowOff>19050</xdr:rowOff>
    </xdr:from>
    <xdr:ext cx="255968" cy="171451"/>
    <xdr:pic>
      <xdr:nvPicPr>
        <xdr:cNvPr id="26" name="Picture 2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86300" y="3143250"/>
          <a:ext cx="255968" cy="171451"/>
        </a:xfrm>
        <a:prstGeom prst="rect">
          <a:avLst/>
        </a:prstGeom>
      </xdr:spPr>
    </xdr:pic>
    <xdr:clientData/>
  </xdr:oneCellAnchor>
  <xdr:oneCellAnchor>
    <xdr:from>
      <xdr:col>12</xdr:col>
      <xdr:colOff>981075</xdr:colOff>
      <xdr:row>22</xdr:row>
      <xdr:rowOff>19050</xdr:rowOff>
    </xdr:from>
    <xdr:ext cx="255968" cy="171451"/>
    <xdr:pic>
      <xdr:nvPicPr>
        <xdr:cNvPr id="27" name="Picture 2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81725" y="3629025"/>
          <a:ext cx="255968" cy="171451"/>
        </a:xfrm>
        <a:prstGeom prst="rect">
          <a:avLst/>
        </a:prstGeom>
      </xdr:spPr>
    </xdr:pic>
    <xdr:clientData/>
  </xdr:oneCellAnchor>
  <xdr:oneCellAnchor>
    <xdr:from>
      <xdr:col>2</xdr:col>
      <xdr:colOff>19050</xdr:colOff>
      <xdr:row>112</xdr:row>
      <xdr:rowOff>47625</xdr:rowOff>
    </xdr:from>
    <xdr:ext cx="988482" cy="444817"/>
    <xdr:pic>
      <xdr:nvPicPr>
        <xdr:cNvPr id="28" name="Picture 27"/>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61975" y="18059400"/>
          <a:ext cx="988482" cy="444817"/>
        </a:xfrm>
        <a:prstGeom prst="rect">
          <a:avLst/>
        </a:prstGeom>
      </xdr:spPr>
    </xdr:pic>
    <xdr:clientData/>
  </xdr:oneCellAnchor>
  <xdr:twoCellAnchor>
    <xdr:from>
      <xdr:col>16</xdr:col>
      <xdr:colOff>1038225</xdr:colOff>
      <xdr:row>104</xdr:row>
      <xdr:rowOff>142874</xdr:rowOff>
    </xdr:from>
    <xdr:to>
      <xdr:col>16</xdr:col>
      <xdr:colOff>1257301</xdr:colOff>
      <xdr:row>105</xdr:row>
      <xdr:rowOff>0</xdr:rowOff>
    </xdr:to>
    <xdr:sp macro="" textlink="">
      <xdr:nvSpPr>
        <xdr:cNvPr id="29" name="Multiply 28"/>
        <xdr:cNvSpPr/>
      </xdr:nvSpPr>
      <xdr:spPr>
        <a:xfrm>
          <a:off x="6953250" y="16811624"/>
          <a:ext cx="0" cy="28576"/>
        </a:xfrm>
        <a:prstGeom prst="mathMultiply">
          <a:avLst/>
        </a:prstGeom>
        <a:solidFill>
          <a:srgbClr val="00B050"/>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t-EE" sz="1100"/>
        </a:p>
      </xdr:txBody>
    </xdr:sp>
    <xdr:clientData/>
  </xdr:twoCellAnchor>
  <xdr:twoCellAnchor editAs="oneCell">
    <xdr:from>
      <xdr:col>11</xdr:col>
      <xdr:colOff>9526</xdr:colOff>
      <xdr:row>44</xdr:row>
      <xdr:rowOff>13097</xdr:rowOff>
    </xdr:from>
    <xdr:to>
      <xdr:col>11</xdr:col>
      <xdr:colOff>187594</xdr:colOff>
      <xdr:row>45</xdr:row>
      <xdr:rowOff>51628</xdr:rowOff>
    </xdr:to>
    <xdr:pic>
      <xdr:nvPicPr>
        <xdr:cNvPr id="30" name="Picture 2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010151" y="7090172"/>
          <a:ext cx="178068" cy="200456"/>
        </a:xfrm>
        <a:prstGeom prst="rect">
          <a:avLst/>
        </a:prstGeom>
      </xdr:spPr>
    </xdr:pic>
    <xdr:clientData/>
  </xdr:twoCellAnchor>
  <xdr:oneCellAnchor>
    <xdr:from>
      <xdr:col>13</xdr:col>
      <xdr:colOff>5953</xdr:colOff>
      <xdr:row>44</xdr:row>
      <xdr:rowOff>19050</xdr:rowOff>
    </xdr:from>
    <xdr:ext cx="178148" cy="224805"/>
    <xdr:pic>
      <xdr:nvPicPr>
        <xdr:cNvPr id="31" name="Picture 3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502003" y="7096125"/>
          <a:ext cx="178148" cy="224805"/>
        </a:xfrm>
        <a:prstGeom prst="rect">
          <a:avLst/>
        </a:prstGeom>
      </xdr:spPr>
    </xdr:pic>
    <xdr:clientData/>
  </xdr:oneCellAnchor>
  <xdr:oneCellAnchor>
    <xdr:from>
      <xdr:col>13</xdr:col>
      <xdr:colOff>0</xdr:colOff>
      <xdr:row>88</xdr:row>
      <xdr:rowOff>19050</xdr:rowOff>
    </xdr:from>
    <xdr:ext cx="176400" cy="221760"/>
    <xdr:pic>
      <xdr:nvPicPr>
        <xdr:cNvPr id="32" name="Picture 3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496050" y="14201775"/>
          <a:ext cx="176400" cy="221760"/>
        </a:xfrm>
        <a:prstGeom prst="rect">
          <a:avLst/>
        </a:prstGeom>
      </xdr:spPr>
    </xdr:pic>
    <xdr:clientData/>
  </xdr:oneCellAnchor>
  <xdr:oneCellAnchor>
    <xdr:from>
      <xdr:col>12</xdr:col>
      <xdr:colOff>923925</xdr:colOff>
      <xdr:row>27</xdr:row>
      <xdr:rowOff>0</xdr:rowOff>
    </xdr:from>
    <xdr:ext cx="285750" cy="285750"/>
    <xdr:pic>
      <xdr:nvPicPr>
        <xdr:cNvPr id="33" name="Picture 3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124575" y="4610100"/>
          <a:ext cx="285750" cy="285750"/>
        </a:xfrm>
        <a:prstGeom prst="rect">
          <a:avLst/>
        </a:prstGeom>
      </xdr:spPr>
    </xdr:pic>
    <xdr:clientData/>
  </xdr:oneCellAnchor>
  <xdr:oneCellAnchor>
    <xdr:from>
      <xdr:col>12</xdr:col>
      <xdr:colOff>923925</xdr:colOff>
      <xdr:row>78</xdr:row>
      <xdr:rowOff>9525</xdr:rowOff>
    </xdr:from>
    <xdr:ext cx="285750" cy="285750"/>
    <xdr:pic>
      <xdr:nvPicPr>
        <xdr:cNvPr id="34" name="Picture 33"/>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124575" y="12696825"/>
          <a:ext cx="285750" cy="285750"/>
        </a:xfrm>
        <a:prstGeom prst="rect">
          <a:avLst/>
        </a:prstGeom>
      </xdr:spPr>
    </xdr:pic>
    <xdr:clientData/>
  </xdr:oneCellAnchor>
  <xdr:oneCellAnchor>
    <xdr:from>
      <xdr:col>13</xdr:col>
      <xdr:colOff>0</xdr:colOff>
      <xdr:row>7</xdr:row>
      <xdr:rowOff>19050</xdr:rowOff>
    </xdr:from>
    <xdr:ext cx="176486" cy="219347"/>
    <xdr:pic>
      <xdr:nvPicPr>
        <xdr:cNvPr id="35" name="Picture 34"/>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496050" y="1171575"/>
          <a:ext cx="176486" cy="219347"/>
        </a:xfrm>
        <a:prstGeom prst="rect">
          <a:avLst/>
        </a:prstGeom>
      </xdr:spPr>
    </xdr:pic>
    <xdr:clientData/>
  </xdr:oneCellAnchor>
  <xdr:oneCellAnchor>
    <xdr:from>
      <xdr:col>7</xdr:col>
      <xdr:colOff>0</xdr:colOff>
      <xdr:row>14</xdr:row>
      <xdr:rowOff>19050</xdr:rowOff>
    </xdr:from>
    <xdr:ext cx="176486" cy="219347"/>
    <xdr:pic>
      <xdr:nvPicPr>
        <xdr:cNvPr id="36" name="Picture 3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171825" y="2324100"/>
          <a:ext cx="176486" cy="219347"/>
        </a:xfrm>
        <a:prstGeom prst="rect">
          <a:avLst/>
        </a:prstGeom>
      </xdr:spPr>
    </xdr:pic>
    <xdr:clientData/>
  </xdr:oneCellAnchor>
  <xdr:twoCellAnchor editAs="oneCell">
    <xdr:from>
      <xdr:col>7</xdr:col>
      <xdr:colOff>0</xdr:colOff>
      <xdr:row>66</xdr:row>
      <xdr:rowOff>19050</xdr:rowOff>
    </xdr:from>
    <xdr:to>
      <xdr:col>7</xdr:col>
      <xdr:colOff>176486</xdr:colOff>
      <xdr:row>67</xdr:row>
      <xdr:rowOff>76472</xdr:rowOff>
    </xdr:to>
    <xdr:pic>
      <xdr:nvPicPr>
        <xdr:cNvPr id="37" name="Picture 36"/>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171825" y="10725150"/>
          <a:ext cx="176486" cy="219347"/>
        </a:xfrm>
        <a:prstGeom prst="rect">
          <a:avLst/>
        </a:prstGeom>
      </xdr:spPr>
    </xdr:pic>
    <xdr:clientData/>
  </xdr:twoCellAnchor>
  <xdr:twoCellAnchor editAs="oneCell">
    <xdr:from>
      <xdr:col>13</xdr:col>
      <xdr:colOff>0</xdr:colOff>
      <xdr:row>85</xdr:row>
      <xdr:rowOff>19050</xdr:rowOff>
    </xdr:from>
    <xdr:to>
      <xdr:col>13</xdr:col>
      <xdr:colOff>176400</xdr:colOff>
      <xdr:row>86</xdr:row>
      <xdr:rowOff>74955</xdr:rowOff>
    </xdr:to>
    <xdr:pic>
      <xdr:nvPicPr>
        <xdr:cNvPr id="38" name="Picture 3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496050" y="13706475"/>
          <a:ext cx="176400" cy="227355"/>
        </a:xfrm>
        <a:prstGeom prst="rect">
          <a:avLst/>
        </a:prstGeom>
      </xdr:spPr>
    </xdr:pic>
    <xdr:clientData/>
  </xdr:twoCellAnchor>
  <xdr:twoCellAnchor editAs="oneCell">
    <xdr:from>
      <xdr:col>13</xdr:col>
      <xdr:colOff>0</xdr:colOff>
      <xdr:row>61</xdr:row>
      <xdr:rowOff>19050</xdr:rowOff>
    </xdr:from>
    <xdr:to>
      <xdr:col>13</xdr:col>
      <xdr:colOff>176400</xdr:colOff>
      <xdr:row>62</xdr:row>
      <xdr:rowOff>88410</xdr:rowOff>
    </xdr:to>
    <xdr:pic>
      <xdr:nvPicPr>
        <xdr:cNvPr id="39" name="Picture 3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496050" y="9896475"/>
          <a:ext cx="176400" cy="231285"/>
        </a:xfrm>
        <a:prstGeom prst="rect">
          <a:avLst/>
        </a:prstGeom>
      </xdr:spPr>
    </xdr:pic>
    <xdr:clientData/>
  </xdr:twoCellAnchor>
  <xdr:oneCellAnchor>
    <xdr:from>
      <xdr:col>7</xdr:col>
      <xdr:colOff>0</xdr:colOff>
      <xdr:row>35</xdr:row>
      <xdr:rowOff>19050</xdr:rowOff>
    </xdr:from>
    <xdr:ext cx="176486" cy="219347"/>
    <xdr:pic>
      <xdr:nvPicPr>
        <xdr:cNvPr id="40" name="Picture 3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171825" y="5619750"/>
          <a:ext cx="176486" cy="219347"/>
        </a:xfrm>
        <a:prstGeom prst="rect">
          <a:avLst/>
        </a:prstGeom>
      </xdr:spPr>
    </xdr:pic>
    <xdr:clientData/>
  </xdr:oneCellAnchor>
  <xdr:oneCellAnchor>
    <xdr:from>
      <xdr:col>7</xdr:col>
      <xdr:colOff>0</xdr:colOff>
      <xdr:row>51</xdr:row>
      <xdr:rowOff>19050</xdr:rowOff>
    </xdr:from>
    <xdr:ext cx="176400" cy="221760"/>
    <xdr:pic>
      <xdr:nvPicPr>
        <xdr:cNvPr id="41" name="Picture 40"/>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171825" y="8248650"/>
          <a:ext cx="176400" cy="221760"/>
        </a:xfrm>
        <a:prstGeom prst="rect">
          <a:avLst/>
        </a:prstGeom>
      </xdr:spPr>
    </xdr:pic>
    <xdr:clientData/>
  </xdr:oneCellAnchor>
  <xdr:oneCellAnchor>
    <xdr:from>
      <xdr:col>7</xdr:col>
      <xdr:colOff>0</xdr:colOff>
      <xdr:row>58</xdr:row>
      <xdr:rowOff>19050</xdr:rowOff>
    </xdr:from>
    <xdr:ext cx="176486" cy="219347"/>
    <xdr:pic>
      <xdr:nvPicPr>
        <xdr:cNvPr id="42" name="Picture 41"/>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171825" y="9401175"/>
          <a:ext cx="176486" cy="219347"/>
        </a:xfrm>
        <a:prstGeom prst="rect">
          <a:avLst/>
        </a:prstGeom>
      </xdr:spPr>
    </xdr:pic>
    <xdr:clientData/>
  </xdr:oneCellAnchor>
  <xdr:oneCellAnchor>
    <xdr:from>
      <xdr:col>3</xdr:col>
      <xdr:colOff>0</xdr:colOff>
      <xdr:row>78</xdr:row>
      <xdr:rowOff>19050</xdr:rowOff>
    </xdr:from>
    <xdr:ext cx="176486" cy="219347"/>
    <xdr:pic>
      <xdr:nvPicPr>
        <xdr:cNvPr id="43" name="Picture 42"/>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28700" y="12706350"/>
          <a:ext cx="176486" cy="219347"/>
        </a:xfrm>
        <a:prstGeom prst="rect">
          <a:avLst/>
        </a:prstGeom>
      </xdr:spPr>
    </xdr:pic>
    <xdr:clientData/>
  </xdr:oneCellAnchor>
  <xdr:oneCellAnchor>
    <xdr:from>
      <xdr:col>10</xdr:col>
      <xdr:colOff>1066800</xdr:colOff>
      <xdr:row>38</xdr:row>
      <xdr:rowOff>28575</xdr:rowOff>
    </xdr:from>
    <xdr:ext cx="155520" cy="216000"/>
    <xdr:pic>
      <xdr:nvPicPr>
        <xdr:cNvPr id="44" name="Picture 43"/>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52975" y="6115050"/>
          <a:ext cx="155520" cy="216000"/>
        </a:xfrm>
        <a:prstGeom prst="rect">
          <a:avLst/>
        </a:prstGeom>
      </xdr:spPr>
    </xdr:pic>
    <xdr:clientData/>
  </xdr:oneCellAnchor>
  <xdr:oneCellAnchor>
    <xdr:from>
      <xdr:col>10</xdr:col>
      <xdr:colOff>1000125</xdr:colOff>
      <xdr:row>34</xdr:row>
      <xdr:rowOff>38100</xdr:rowOff>
    </xdr:from>
    <xdr:ext cx="255968" cy="171451"/>
    <xdr:pic>
      <xdr:nvPicPr>
        <xdr:cNvPr id="45" name="Picture 4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686300" y="5476875"/>
          <a:ext cx="255968" cy="171451"/>
        </a:xfrm>
        <a:prstGeom prst="rect">
          <a:avLst/>
        </a:prstGeom>
      </xdr:spPr>
    </xdr:pic>
    <xdr:clientData/>
  </xdr:oneCellAnchor>
  <xdr:oneCellAnchor>
    <xdr:from>
      <xdr:col>12</xdr:col>
      <xdr:colOff>1028700</xdr:colOff>
      <xdr:row>71</xdr:row>
      <xdr:rowOff>28575</xdr:rowOff>
    </xdr:from>
    <xdr:ext cx="176400" cy="288655"/>
    <xdr:pic>
      <xdr:nvPicPr>
        <xdr:cNvPr id="46" name="Picture 4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29350" y="11553825"/>
          <a:ext cx="176400" cy="288655"/>
        </a:xfrm>
        <a:prstGeom prst="rect">
          <a:avLst/>
        </a:prstGeom>
      </xdr:spPr>
    </xdr:pic>
    <xdr:clientData/>
  </xdr:oneCellAnchor>
  <xdr:oneCellAnchor>
    <xdr:from>
      <xdr:col>12</xdr:col>
      <xdr:colOff>933450</xdr:colOff>
      <xdr:row>14</xdr:row>
      <xdr:rowOff>0</xdr:rowOff>
    </xdr:from>
    <xdr:ext cx="285750" cy="285750"/>
    <xdr:pic>
      <xdr:nvPicPr>
        <xdr:cNvPr id="47" name="Picture 4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134100" y="2305050"/>
          <a:ext cx="285750" cy="285750"/>
        </a:xfrm>
        <a:prstGeom prst="rect">
          <a:avLst/>
        </a:prstGeom>
      </xdr:spPr>
    </xdr:pic>
    <xdr:clientData/>
  </xdr:oneCellAnchor>
  <xdr:oneCellAnchor>
    <xdr:from>
      <xdr:col>6</xdr:col>
      <xdr:colOff>742949</xdr:colOff>
      <xdr:row>25</xdr:row>
      <xdr:rowOff>9524</xdr:rowOff>
    </xdr:from>
    <xdr:ext cx="295116" cy="282646"/>
    <xdr:pic>
      <xdr:nvPicPr>
        <xdr:cNvPr id="48" name="Picture 4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67024" y="4114799"/>
          <a:ext cx="295116" cy="282646"/>
        </a:xfrm>
        <a:prstGeom prst="rect">
          <a:avLst/>
        </a:prstGeom>
      </xdr:spPr>
    </xdr:pic>
    <xdr:clientData/>
  </xdr:oneCellAnchor>
  <xdr:oneCellAnchor>
    <xdr:from>
      <xdr:col>12</xdr:col>
      <xdr:colOff>1285876</xdr:colOff>
      <xdr:row>11</xdr:row>
      <xdr:rowOff>19050</xdr:rowOff>
    </xdr:from>
    <xdr:ext cx="206129" cy="255600"/>
    <xdr:pic>
      <xdr:nvPicPr>
        <xdr:cNvPr id="49" name="Picture 4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86526" y="1828800"/>
          <a:ext cx="206129" cy="255600"/>
        </a:xfrm>
        <a:prstGeom prst="rect">
          <a:avLst/>
        </a:prstGeom>
      </xdr:spPr>
    </xdr:pic>
    <xdr:clientData/>
  </xdr:oneCellAnchor>
  <xdr:oneCellAnchor>
    <xdr:from>
      <xdr:col>10</xdr:col>
      <xdr:colOff>1057275</xdr:colOff>
      <xdr:row>14</xdr:row>
      <xdr:rowOff>28575</xdr:rowOff>
    </xdr:from>
    <xdr:ext cx="155520" cy="216000"/>
    <xdr:pic>
      <xdr:nvPicPr>
        <xdr:cNvPr id="55" name="Picture 54"/>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43450" y="2352675"/>
          <a:ext cx="155520" cy="216000"/>
        </a:xfrm>
        <a:prstGeom prst="rect">
          <a:avLst/>
        </a:prstGeom>
      </xdr:spPr>
    </xdr:pic>
    <xdr:clientData/>
  </xdr:oneCellAnchor>
  <xdr:oneCellAnchor>
    <xdr:from>
      <xdr:col>10</xdr:col>
      <xdr:colOff>1047750</xdr:colOff>
      <xdr:row>51</xdr:row>
      <xdr:rowOff>47625</xdr:rowOff>
    </xdr:from>
    <xdr:ext cx="155520" cy="216000"/>
    <xdr:pic>
      <xdr:nvPicPr>
        <xdr:cNvPr id="56" name="Picture 5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33925" y="8620125"/>
          <a:ext cx="155520" cy="216000"/>
        </a:xfrm>
        <a:prstGeom prst="rect">
          <a:avLst/>
        </a:prstGeom>
      </xdr:spPr>
    </xdr:pic>
    <xdr:clientData/>
  </xdr:oneCellAnchor>
  <xdr:twoCellAnchor editAs="oneCell">
    <xdr:from>
      <xdr:col>10</xdr:col>
      <xdr:colOff>990600</xdr:colOff>
      <xdr:row>75</xdr:row>
      <xdr:rowOff>0</xdr:rowOff>
    </xdr:from>
    <xdr:to>
      <xdr:col>10</xdr:col>
      <xdr:colOff>1248307</xdr:colOff>
      <xdr:row>76</xdr:row>
      <xdr:rowOff>141504</xdr:rowOff>
    </xdr:to>
    <xdr:pic>
      <xdr:nvPicPr>
        <xdr:cNvPr id="62" name="Picture 61"/>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676775" y="12372975"/>
          <a:ext cx="257707" cy="303429"/>
        </a:xfrm>
        <a:prstGeom prst="rect">
          <a:avLst/>
        </a:prstGeom>
      </xdr:spPr>
    </xdr:pic>
    <xdr:clientData/>
  </xdr:twoCellAnchor>
  <xdr:twoCellAnchor editAs="oneCell">
    <xdr:from>
      <xdr:col>10</xdr:col>
      <xdr:colOff>1114425</xdr:colOff>
      <xdr:row>78</xdr:row>
      <xdr:rowOff>66675</xdr:rowOff>
    </xdr:from>
    <xdr:to>
      <xdr:col>11</xdr:col>
      <xdr:colOff>108170</xdr:colOff>
      <xdr:row>82</xdr:row>
      <xdr:rowOff>19050</xdr:rowOff>
    </xdr:to>
    <xdr:pic>
      <xdr:nvPicPr>
        <xdr:cNvPr id="63" name="Picture 62"/>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705350" y="12934950"/>
          <a:ext cx="308195" cy="438150"/>
        </a:xfrm>
        <a:prstGeom prst="rect">
          <a:avLst/>
        </a:prstGeom>
      </xdr:spPr>
    </xdr:pic>
    <xdr:clientData/>
  </xdr:twoCellAnchor>
  <xdr:twoCellAnchor editAs="oneCell">
    <xdr:from>
      <xdr:col>0</xdr:col>
      <xdr:colOff>19050</xdr:colOff>
      <xdr:row>96</xdr:row>
      <xdr:rowOff>0</xdr:rowOff>
    </xdr:from>
    <xdr:to>
      <xdr:col>1</xdr:col>
      <xdr:colOff>95250</xdr:colOff>
      <xdr:row>97</xdr:row>
      <xdr:rowOff>0</xdr:rowOff>
    </xdr:to>
    <xdr:pic>
      <xdr:nvPicPr>
        <xdr:cNvPr id="64" name="Picture 6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050" y="15840075"/>
          <a:ext cx="352425" cy="171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2</xdr:col>
      <xdr:colOff>156080</xdr:colOff>
      <xdr:row>2</xdr:row>
      <xdr:rowOff>142875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19050"/>
          <a:ext cx="356105" cy="447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2</xdr:col>
      <xdr:colOff>171450</xdr:colOff>
      <xdr:row>2</xdr:row>
      <xdr:rowOff>156890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19050"/>
          <a:ext cx="371475" cy="4616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85725</xdr:colOff>
      <xdr:row>5</xdr:row>
      <xdr:rowOff>85725</xdr:rowOff>
    </xdr:from>
    <xdr:to>
      <xdr:col>5</xdr:col>
      <xdr:colOff>104625</xdr:colOff>
      <xdr:row>5</xdr:row>
      <xdr:rowOff>733725</xdr:rowOff>
    </xdr:to>
    <xdr:grpSp>
      <xdr:nvGrpSpPr>
        <xdr:cNvPr id="2" name="Group 39"/>
        <xdr:cNvGrpSpPr>
          <a:grpSpLocks noChangeAspect="1"/>
        </xdr:cNvGrpSpPr>
      </xdr:nvGrpSpPr>
      <xdr:grpSpPr bwMode="auto">
        <a:xfrm>
          <a:off x="1533525" y="904875"/>
          <a:ext cx="590400" cy="648000"/>
          <a:chOff x="1571625" y="533400"/>
          <a:chExt cx="847725" cy="923925"/>
        </a:xfrm>
      </xdr:grpSpPr>
      <xdr:sp macro="" textlink="">
        <xdr:nvSpPr>
          <xdr:cNvPr id="3" name="Oval 40"/>
          <xdr:cNvSpPr>
            <a:spLocks noChangeArrowheads="1"/>
          </xdr:cNvSpPr>
        </xdr:nvSpPr>
        <xdr:spPr bwMode="auto">
          <a:xfrm>
            <a:off x="1571625" y="533400"/>
            <a:ext cx="847725" cy="923925"/>
          </a:xfrm>
          <a:prstGeom prst="ellipse">
            <a:avLst/>
          </a:prstGeom>
          <a:solidFill>
            <a:srgbClr val="C0C0C0"/>
          </a:solidFill>
          <a:ln w="19050">
            <a:solidFill>
              <a:srgbClr val="000000"/>
            </a:solidFill>
            <a:round/>
            <a:headEnd/>
            <a:tailEnd/>
          </a:ln>
        </xdr:spPr>
      </xdr:sp>
      <xdr:sp macro="" textlink="">
        <xdr:nvSpPr>
          <xdr:cNvPr id="4" name="Oval 1"/>
          <xdr:cNvSpPr>
            <a:spLocks noChangeArrowheads="1"/>
          </xdr:cNvSpPr>
        </xdr:nvSpPr>
        <xdr:spPr bwMode="auto">
          <a:xfrm>
            <a:off x="1933575" y="923925"/>
            <a:ext cx="133350" cy="142875"/>
          </a:xfrm>
          <a:prstGeom prst="ellipse">
            <a:avLst/>
          </a:prstGeom>
          <a:solidFill>
            <a:srgbClr val="FFFFFF"/>
          </a:solidFill>
          <a:ln w="9525">
            <a:solidFill>
              <a:srgbClr val="000000"/>
            </a:solidFill>
            <a:round/>
            <a:headEnd/>
            <a:tailEnd/>
          </a:ln>
        </xdr:spPr>
      </xdr:sp>
    </xdr:grpSp>
    <xdr:clientData/>
  </xdr:twoCellAnchor>
  <xdr:twoCellAnchor>
    <xdr:from>
      <xdr:col>10</xdr:col>
      <xdr:colOff>85725</xdr:colOff>
      <xdr:row>5</xdr:row>
      <xdr:rowOff>85725</xdr:rowOff>
    </xdr:from>
    <xdr:to>
      <xdr:col>13</xdr:col>
      <xdr:colOff>104625</xdr:colOff>
      <xdr:row>5</xdr:row>
      <xdr:rowOff>733725</xdr:rowOff>
    </xdr:to>
    <xdr:grpSp>
      <xdr:nvGrpSpPr>
        <xdr:cNvPr id="5" name="Group 42"/>
        <xdr:cNvGrpSpPr>
          <a:grpSpLocks noChangeAspect="1"/>
        </xdr:cNvGrpSpPr>
      </xdr:nvGrpSpPr>
      <xdr:grpSpPr bwMode="auto">
        <a:xfrm>
          <a:off x="3057525" y="904875"/>
          <a:ext cx="590400" cy="648000"/>
          <a:chOff x="4391025" y="533400"/>
          <a:chExt cx="847725" cy="923925"/>
        </a:xfrm>
      </xdr:grpSpPr>
      <xdr:sp macro="" textlink="">
        <xdr:nvSpPr>
          <xdr:cNvPr id="6" name="Oval 62"/>
          <xdr:cNvSpPr>
            <a:spLocks noChangeArrowheads="1"/>
          </xdr:cNvSpPr>
        </xdr:nvSpPr>
        <xdr:spPr bwMode="auto">
          <a:xfrm>
            <a:off x="4391025" y="533400"/>
            <a:ext cx="847725" cy="923925"/>
          </a:xfrm>
          <a:prstGeom prst="ellipse">
            <a:avLst/>
          </a:prstGeom>
          <a:solidFill>
            <a:srgbClr val="C0C0C0"/>
          </a:solidFill>
          <a:ln w="19050">
            <a:solidFill>
              <a:srgbClr val="000000"/>
            </a:solidFill>
            <a:round/>
            <a:headEnd/>
            <a:tailEnd/>
          </a:ln>
        </xdr:spPr>
      </xdr:sp>
      <xdr:sp macro="" textlink="">
        <xdr:nvSpPr>
          <xdr:cNvPr id="7" name="Oval 67"/>
          <xdr:cNvSpPr>
            <a:spLocks noChangeArrowheads="1"/>
          </xdr:cNvSpPr>
        </xdr:nvSpPr>
        <xdr:spPr bwMode="auto">
          <a:xfrm>
            <a:off x="4752975" y="923925"/>
            <a:ext cx="133350" cy="142875"/>
          </a:xfrm>
          <a:prstGeom prst="ellipse">
            <a:avLst/>
          </a:prstGeom>
          <a:solidFill>
            <a:srgbClr val="FFFFFF"/>
          </a:solidFill>
          <a:ln w="9525">
            <a:solidFill>
              <a:srgbClr val="000000"/>
            </a:solidFill>
            <a:round/>
            <a:headEnd/>
            <a:tailEnd/>
          </a:ln>
        </xdr:spPr>
      </xdr:sp>
      <xdr:sp macro="" textlink="">
        <xdr:nvSpPr>
          <xdr:cNvPr id="8" name="Oval 68"/>
          <xdr:cNvSpPr>
            <a:spLocks noChangeArrowheads="1"/>
          </xdr:cNvSpPr>
        </xdr:nvSpPr>
        <xdr:spPr bwMode="auto">
          <a:xfrm>
            <a:off x="4572000" y="923925"/>
            <a:ext cx="133350" cy="142875"/>
          </a:xfrm>
          <a:prstGeom prst="ellipse">
            <a:avLst/>
          </a:prstGeom>
          <a:solidFill>
            <a:srgbClr val="0000FF"/>
          </a:solidFill>
          <a:ln w="9525">
            <a:solidFill>
              <a:srgbClr val="000000"/>
            </a:solidFill>
            <a:round/>
            <a:headEnd/>
            <a:tailEnd/>
          </a:ln>
        </xdr:spPr>
      </xdr:sp>
      <xdr:sp macro="" textlink="">
        <xdr:nvSpPr>
          <xdr:cNvPr id="9" name="Oval 69"/>
          <xdr:cNvSpPr>
            <a:spLocks noChangeArrowheads="1"/>
          </xdr:cNvSpPr>
        </xdr:nvSpPr>
        <xdr:spPr bwMode="auto">
          <a:xfrm>
            <a:off x="4943475" y="923925"/>
            <a:ext cx="133350" cy="142875"/>
          </a:xfrm>
          <a:prstGeom prst="ellipse">
            <a:avLst/>
          </a:prstGeom>
          <a:solidFill>
            <a:srgbClr val="0000FF"/>
          </a:solidFill>
          <a:ln w="9525">
            <a:solidFill>
              <a:srgbClr val="000000"/>
            </a:solidFill>
            <a:round/>
            <a:headEnd/>
            <a:tailEnd/>
          </a:ln>
        </xdr:spPr>
      </xdr:sp>
    </xdr:grpSp>
    <xdr:clientData/>
  </xdr:twoCellAnchor>
  <xdr:twoCellAnchor>
    <xdr:from>
      <xdr:col>14</xdr:col>
      <xdr:colOff>85725</xdr:colOff>
      <xdr:row>5</xdr:row>
      <xdr:rowOff>85725</xdr:rowOff>
    </xdr:from>
    <xdr:to>
      <xdr:col>17</xdr:col>
      <xdr:colOff>104625</xdr:colOff>
      <xdr:row>5</xdr:row>
      <xdr:rowOff>733725</xdr:rowOff>
    </xdr:to>
    <xdr:grpSp>
      <xdr:nvGrpSpPr>
        <xdr:cNvPr id="10" name="Group 47"/>
        <xdr:cNvGrpSpPr>
          <a:grpSpLocks noChangeAspect="1"/>
        </xdr:cNvGrpSpPr>
      </xdr:nvGrpSpPr>
      <xdr:grpSpPr bwMode="auto">
        <a:xfrm>
          <a:off x="3819525" y="904875"/>
          <a:ext cx="590400" cy="648000"/>
          <a:chOff x="5810250" y="523875"/>
          <a:chExt cx="847725" cy="923925"/>
        </a:xfrm>
      </xdr:grpSpPr>
      <xdr:sp macro="" textlink="">
        <xdr:nvSpPr>
          <xdr:cNvPr id="11" name="Oval 63"/>
          <xdr:cNvSpPr>
            <a:spLocks noChangeArrowheads="1"/>
          </xdr:cNvSpPr>
        </xdr:nvSpPr>
        <xdr:spPr bwMode="auto">
          <a:xfrm>
            <a:off x="5810250" y="523875"/>
            <a:ext cx="847725" cy="923925"/>
          </a:xfrm>
          <a:prstGeom prst="ellipse">
            <a:avLst/>
          </a:prstGeom>
          <a:solidFill>
            <a:srgbClr val="C0C0C0"/>
          </a:solidFill>
          <a:ln w="19050">
            <a:solidFill>
              <a:srgbClr val="000000"/>
            </a:solidFill>
            <a:round/>
            <a:headEnd/>
            <a:tailEnd/>
          </a:ln>
        </xdr:spPr>
      </xdr:sp>
      <xdr:sp macro="" textlink="">
        <xdr:nvSpPr>
          <xdr:cNvPr id="12" name="Oval 66"/>
          <xdr:cNvSpPr>
            <a:spLocks noChangeArrowheads="1"/>
          </xdr:cNvSpPr>
        </xdr:nvSpPr>
        <xdr:spPr bwMode="auto">
          <a:xfrm>
            <a:off x="6162675" y="914400"/>
            <a:ext cx="133350" cy="142875"/>
          </a:xfrm>
          <a:prstGeom prst="ellipse">
            <a:avLst/>
          </a:prstGeom>
          <a:solidFill>
            <a:srgbClr val="FFFFFF"/>
          </a:solidFill>
          <a:ln w="9525">
            <a:solidFill>
              <a:srgbClr val="000000"/>
            </a:solidFill>
            <a:round/>
            <a:headEnd/>
            <a:tailEnd/>
          </a:ln>
        </xdr:spPr>
      </xdr:sp>
      <xdr:sp macro="" textlink="">
        <xdr:nvSpPr>
          <xdr:cNvPr id="13" name="Oval 70"/>
          <xdr:cNvSpPr>
            <a:spLocks noChangeArrowheads="1"/>
          </xdr:cNvSpPr>
        </xdr:nvSpPr>
        <xdr:spPr bwMode="auto">
          <a:xfrm>
            <a:off x="6162675" y="1123950"/>
            <a:ext cx="133350" cy="142875"/>
          </a:xfrm>
          <a:prstGeom prst="ellipse">
            <a:avLst/>
          </a:prstGeom>
          <a:solidFill>
            <a:srgbClr val="0000FF"/>
          </a:solidFill>
          <a:ln w="9525">
            <a:solidFill>
              <a:srgbClr val="000000"/>
            </a:solidFill>
            <a:round/>
            <a:headEnd/>
            <a:tailEnd/>
          </a:ln>
        </xdr:spPr>
      </xdr:sp>
    </xdr:grpSp>
    <xdr:clientData/>
  </xdr:twoCellAnchor>
  <xdr:twoCellAnchor>
    <xdr:from>
      <xdr:col>18</xdr:col>
      <xdr:colOff>85725</xdr:colOff>
      <xdr:row>5</xdr:row>
      <xdr:rowOff>85725</xdr:rowOff>
    </xdr:from>
    <xdr:to>
      <xdr:col>21</xdr:col>
      <xdr:colOff>104625</xdr:colOff>
      <xdr:row>5</xdr:row>
      <xdr:rowOff>733725</xdr:rowOff>
    </xdr:to>
    <xdr:grpSp>
      <xdr:nvGrpSpPr>
        <xdr:cNvPr id="14" name="Group 51"/>
        <xdr:cNvGrpSpPr>
          <a:grpSpLocks noChangeAspect="1"/>
        </xdr:cNvGrpSpPr>
      </xdr:nvGrpSpPr>
      <xdr:grpSpPr bwMode="auto">
        <a:xfrm>
          <a:off x="4581525" y="904875"/>
          <a:ext cx="590400" cy="648000"/>
          <a:chOff x="7219950" y="533400"/>
          <a:chExt cx="847725" cy="923925"/>
        </a:xfrm>
      </xdr:grpSpPr>
      <xdr:sp macro="" textlink="">
        <xdr:nvSpPr>
          <xdr:cNvPr id="15" name="Oval 64"/>
          <xdr:cNvSpPr>
            <a:spLocks noChangeArrowheads="1"/>
          </xdr:cNvSpPr>
        </xdr:nvSpPr>
        <xdr:spPr bwMode="auto">
          <a:xfrm>
            <a:off x="7219950" y="533400"/>
            <a:ext cx="847725" cy="923925"/>
          </a:xfrm>
          <a:prstGeom prst="ellipse">
            <a:avLst/>
          </a:prstGeom>
          <a:solidFill>
            <a:srgbClr val="C0C0C0"/>
          </a:solidFill>
          <a:ln w="19050">
            <a:solidFill>
              <a:srgbClr val="000000"/>
            </a:solidFill>
            <a:round/>
            <a:headEnd/>
            <a:tailEnd/>
          </a:ln>
        </xdr:spPr>
      </xdr:sp>
      <xdr:sp macro="" textlink="">
        <xdr:nvSpPr>
          <xdr:cNvPr id="16" name="Oval 71"/>
          <xdr:cNvSpPr>
            <a:spLocks noChangeArrowheads="1"/>
          </xdr:cNvSpPr>
        </xdr:nvSpPr>
        <xdr:spPr bwMode="auto">
          <a:xfrm>
            <a:off x="7610475" y="1219200"/>
            <a:ext cx="57150" cy="66675"/>
          </a:xfrm>
          <a:prstGeom prst="ellipse">
            <a:avLst/>
          </a:prstGeom>
          <a:solidFill>
            <a:srgbClr val="FFFFFF"/>
          </a:solidFill>
          <a:ln w="9525">
            <a:solidFill>
              <a:srgbClr val="000000"/>
            </a:solidFill>
            <a:round/>
            <a:headEnd/>
            <a:tailEnd/>
          </a:ln>
        </xdr:spPr>
      </xdr:sp>
    </xdr:grpSp>
    <xdr:clientData/>
  </xdr:twoCellAnchor>
  <xdr:twoCellAnchor>
    <xdr:from>
      <xdr:col>6</xdr:col>
      <xdr:colOff>85725</xdr:colOff>
      <xdr:row>5</xdr:row>
      <xdr:rowOff>85725</xdr:rowOff>
    </xdr:from>
    <xdr:to>
      <xdr:col>9</xdr:col>
      <xdr:colOff>104625</xdr:colOff>
      <xdr:row>5</xdr:row>
      <xdr:rowOff>733725</xdr:rowOff>
    </xdr:to>
    <xdr:grpSp>
      <xdr:nvGrpSpPr>
        <xdr:cNvPr id="17" name="Group 58"/>
        <xdr:cNvGrpSpPr>
          <a:grpSpLocks noChangeAspect="1"/>
        </xdr:cNvGrpSpPr>
      </xdr:nvGrpSpPr>
      <xdr:grpSpPr bwMode="auto">
        <a:xfrm>
          <a:off x="2295525" y="904875"/>
          <a:ext cx="590400" cy="648000"/>
          <a:chOff x="2990850" y="533400"/>
          <a:chExt cx="847725" cy="923925"/>
        </a:xfrm>
      </xdr:grpSpPr>
      <xdr:sp macro="" textlink="">
        <xdr:nvSpPr>
          <xdr:cNvPr id="18" name="Oval 61"/>
          <xdr:cNvSpPr>
            <a:spLocks noChangeArrowheads="1"/>
          </xdr:cNvSpPr>
        </xdr:nvSpPr>
        <xdr:spPr bwMode="auto">
          <a:xfrm>
            <a:off x="2990850" y="533400"/>
            <a:ext cx="847725" cy="923925"/>
          </a:xfrm>
          <a:prstGeom prst="ellipse">
            <a:avLst/>
          </a:prstGeom>
          <a:solidFill>
            <a:srgbClr val="C0C0C0"/>
          </a:solidFill>
          <a:ln w="19050">
            <a:solidFill>
              <a:srgbClr val="000000"/>
            </a:solidFill>
            <a:round/>
            <a:headEnd/>
            <a:tailEnd/>
          </a:ln>
        </xdr:spPr>
      </xdr:sp>
      <xdr:sp macro="" textlink="">
        <xdr:nvSpPr>
          <xdr:cNvPr id="19" name="Oval 65"/>
          <xdr:cNvSpPr>
            <a:spLocks noChangeArrowheads="1"/>
          </xdr:cNvSpPr>
        </xdr:nvSpPr>
        <xdr:spPr bwMode="auto">
          <a:xfrm>
            <a:off x="3343274" y="923925"/>
            <a:ext cx="133351" cy="142875"/>
          </a:xfrm>
          <a:prstGeom prst="ellipse">
            <a:avLst/>
          </a:prstGeom>
          <a:solidFill>
            <a:srgbClr val="FFFFFF"/>
          </a:solidFill>
          <a:ln w="9525">
            <a:solidFill>
              <a:srgbClr val="000000"/>
            </a:solidFill>
            <a:round/>
            <a:headEnd/>
            <a:tailEnd/>
          </a:ln>
        </xdr:spPr>
      </xdr:sp>
      <xdr:sp macro="" textlink="">
        <xdr:nvSpPr>
          <xdr:cNvPr id="20" name="Oval 72"/>
          <xdr:cNvSpPr>
            <a:spLocks noChangeArrowheads="1"/>
          </xdr:cNvSpPr>
        </xdr:nvSpPr>
        <xdr:spPr bwMode="auto">
          <a:xfrm>
            <a:off x="3381375" y="1162050"/>
            <a:ext cx="57150" cy="66675"/>
          </a:xfrm>
          <a:prstGeom prst="ellipse">
            <a:avLst/>
          </a:prstGeom>
          <a:solidFill>
            <a:srgbClr val="0000FF"/>
          </a:solidFill>
          <a:ln w="9525">
            <a:solidFill>
              <a:srgbClr val="000000"/>
            </a:solidFill>
            <a:round/>
            <a:headEnd/>
            <a:tailEnd/>
          </a:ln>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19050</xdr:rowOff>
    </xdr:from>
    <xdr:to>
      <xdr:col>6</xdr:col>
      <xdr:colOff>162658</xdr:colOff>
      <xdr:row>2</xdr:row>
      <xdr:rowOff>152400</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19050"/>
          <a:ext cx="410308" cy="457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I61"/>
  <sheetViews>
    <sheetView showGridLines="0" showRowColHeaders="0" zoomScaleNormal="100" workbookViewId="0">
      <pane ySplit="3" topLeftCell="A4" activePane="bottomLeft" state="frozen"/>
      <selection pane="bottomLeft" activeCell="I1" sqref="I1"/>
    </sheetView>
  </sheetViews>
  <sheetFormatPr defaultRowHeight="12.75" x14ac:dyDescent="0.2"/>
  <cols>
    <col min="1" max="1" width="12.5703125" customWidth="1"/>
    <col min="2" max="2" width="5.5703125" customWidth="1"/>
    <col min="3" max="3" width="26.42578125" customWidth="1"/>
    <col min="4" max="4" width="8.28515625" customWidth="1"/>
    <col min="5" max="5" width="6" customWidth="1"/>
    <col min="6" max="6" width="15.5703125" customWidth="1"/>
    <col min="7" max="7" width="14.85546875" customWidth="1"/>
    <col min="8" max="8" width="4.5703125" customWidth="1"/>
    <col min="9" max="9" width="5" customWidth="1"/>
  </cols>
  <sheetData>
    <row r="1" spans="1:9" x14ac:dyDescent="0.2">
      <c r="A1" s="1"/>
      <c r="B1" s="1"/>
      <c r="C1" s="2" t="s">
        <v>0</v>
      </c>
      <c r="D1" s="1"/>
      <c r="E1" s="1"/>
      <c r="F1" s="3" t="str">
        <f>HYPERLINK("","")</f>
        <v/>
      </c>
      <c r="G1" s="4"/>
      <c r="H1" s="5" t="s">
        <v>579</v>
      </c>
      <c r="I1" s="6"/>
    </row>
    <row r="2" spans="1:9" x14ac:dyDescent="0.2">
      <c r="A2" s="1"/>
      <c r="B2" s="1"/>
      <c r="C2" s="1"/>
      <c r="D2" s="1"/>
      <c r="E2" s="1"/>
      <c r="F2" s="7"/>
      <c r="G2" s="8"/>
      <c r="H2" s="8"/>
      <c r="I2" s="9"/>
    </row>
    <row r="3" spans="1:9" x14ac:dyDescent="0.2">
      <c r="A3" s="10" t="s">
        <v>1</v>
      </c>
      <c r="B3" s="10" t="s">
        <v>2</v>
      </c>
      <c r="C3" s="10" t="s">
        <v>3</v>
      </c>
      <c r="D3" s="10" t="s">
        <v>4</v>
      </c>
      <c r="E3" s="10" t="s">
        <v>5</v>
      </c>
      <c r="F3" s="10" t="s">
        <v>6</v>
      </c>
      <c r="G3" s="10" t="s">
        <v>7</v>
      </c>
      <c r="H3" s="10" t="s">
        <v>8</v>
      </c>
      <c r="I3" s="10" t="s">
        <v>9</v>
      </c>
    </row>
    <row r="4" spans="1:9" x14ac:dyDescent="0.2">
      <c r="A4" s="11" t="s">
        <v>10</v>
      </c>
      <c r="B4" s="12"/>
      <c r="C4" s="1"/>
      <c r="D4" s="1"/>
      <c r="E4" s="1"/>
      <c r="F4" s="1"/>
      <c r="G4" s="1"/>
      <c r="H4" s="13"/>
      <c r="I4" s="1"/>
    </row>
    <row r="5" spans="1:9" x14ac:dyDescent="0.2">
      <c r="A5" s="1010" t="s">
        <v>11</v>
      </c>
      <c r="B5" s="1004" t="s">
        <v>12</v>
      </c>
      <c r="C5" s="1005" t="s">
        <v>13</v>
      </c>
      <c r="D5" s="1005" t="s">
        <v>14</v>
      </c>
      <c r="E5" s="1011" t="str">
        <f>HYPERLINK("#A!N1","A")</f>
        <v>A</v>
      </c>
      <c r="F5" s="1007" t="str">
        <f>HYPERLINK("https://kaart.delfi.ee/?bookmark=2456dbce930692d81ec761beacb7a00a","Voka staadion")</f>
        <v>Voka staadion</v>
      </c>
      <c r="G5" s="1005" t="s">
        <v>15</v>
      </c>
      <c r="H5" s="1008">
        <v>2</v>
      </c>
      <c r="I5" s="1009">
        <v>24</v>
      </c>
    </row>
    <row r="6" spans="1:9" x14ac:dyDescent="0.2">
      <c r="A6" s="987" t="s">
        <v>16</v>
      </c>
      <c r="B6" s="986" t="s">
        <v>17</v>
      </c>
      <c r="C6" s="987" t="s">
        <v>18</v>
      </c>
      <c r="D6" s="987" t="s">
        <v>19</v>
      </c>
      <c r="E6" s="24" t="str">
        <f>HYPERLINK("#1!G1","1")</f>
        <v>1</v>
      </c>
      <c r="F6" s="998" t="str">
        <f>HYPERLINK("https://kaart.delfi.ee/?bookmark=521b80d6ceeefbe3e5d227267242b576","K-Järve spordihoone")</f>
        <v>K-Järve spordihoone</v>
      </c>
      <c r="G6" s="976" t="s">
        <v>20</v>
      </c>
      <c r="H6" s="971">
        <v>2</v>
      </c>
      <c r="I6" s="972">
        <f>Reit!P65</f>
        <v>18</v>
      </c>
    </row>
    <row r="7" spans="1:9" x14ac:dyDescent="0.2">
      <c r="A7" s="973" t="s">
        <v>21</v>
      </c>
      <c r="B7" s="988" t="s">
        <v>22</v>
      </c>
      <c r="C7" s="989" t="s">
        <v>23</v>
      </c>
      <c r="D7" s="989" t="s">
        <v>24</v>
      </c>
      <c r="E7" s="32" t="str">
        <f>HYPERLINK("#V1!G1","V1")</f>
        <v>V1</v>
      </c>
      <c r="F7" s="45" t="str">
        <f>HYPERLINK("https://kaart.delfi.ee/?bookmark=2456dbce930692d81ec761beacb7a00a","Voka staadion")</f>
        <v>Voka staadion</v>
      </c>
      <c r="G7" s="973" t="s">
        <v>15</v>
      </c>
      <c r="H7" s="974">
        <v>2</v>
      </c>
      <c r="I7" s="975">
        <f>V!Z63</f>
        <v>18</v>
      </c>
    </row>
    <row r="8" spans="1:9" x14ac:dyDescent="0.2">
      <c r="A8" s="1012" t="s">
        <v>25</v>
      </c>
      <c r="B8" s="1013" t="s">
        <v>26</v>
      </c>
      <c r="C8" s="1014" t="str">
        <f>HYPERLINK("https://www.petanque.ee/index.php?id=103785&amp;cid=654","15. Klubide karikas")</f>
        <v>15. Klubide karikas</v>
      </c>
      <c r="D8" s="1015" t="s">
        <v>27</v>
      </c>
      <c r="E8" s="1016" t="str">
        <f>HYPERLINK("https://www.petanque.ee/juhendid/klubide-karikas-2019/","juh")</f>
        <v>juh</v>
      </c>
      <c r="F8" s="1017" t="str">
        <f>HYPERLINK("https://kaart.delfi.ee/?bookmark=2456dbce930692d81ec761beacb7a00a","Voka staadion")</f>
        <v>Voka staadion</v>
      </c>
      <c r="G8" s="1015" t="s">
        <v>28</v>
      </c>
      <c r="H8" s="1018">
        <v>60</v>
      </c>
      <c r="I8" s="1019"/>
    </row>
    <row r="9" spans="1:9" x14ac:dyDescent="0.2">
      <c r="A9" s="1012" t="s">
        <v>29</v>
      </c>
      <c r="B9" s="1020" t="s">
        <v>30</v>
      </c>
      <c r="C9" s="1014" t="str">
        <f>HYPERLINK("https://www.petanque.ee/index.php?id=103785&amp;cid=655","15. Klubide karikas")</f>
        <v>15. Klubide karikas</v>
      </c>
      <c r="D9" s="1015" t="s">
        <v>27</v>
      </c>
      <c r="E9" s="1021"/>
      <c r="F9" s="1017" t="str">
        <f>HYPERLINK("https://kaart.delfi.ee/?bookmark=2456dbce930692d81ec761beacb7a00a","Voka staadion")</f>
        <v>Voka staadion</v>
      </c>
      <c r="G9" s="1015" t="s">
        <v>28</v>
      </c>
      <c r="H9" s="1018"/>
      <c r="I9" s="1019"/>
    </row>
    <row r="10" spans="1:9" x14ac:dyDescent="0.2">
      <c r="A10" s="991" t="s">
        <v>31</v>
      </c>
      <c r="B10" s="986" t="s">
        <v>22</v>
      </c>
      <c r="C10" s="987" t="s">
        <v>32</v>
      </c>
      <c r="D10" s="987" t="s">
        <v>24</v>
      </c>
      <c r="E10" s="24" t="str">
        <f>HYPERLINK("#2!I1","2")</f>
        <v>2</v>
      </c>
      <c r="F10" s="998" t="str">
        <f>HYPERLINK("https://kaart.delfi.ee/?bookmark=521b80d6ceeefbe3e5d227267242b576","K-Järve spordihoone")</f>
        <v>K-Järve spordihoone</v>
      </c>
      <c r="G10" s="976" t="s">
        <v>20</v>
      </c>
      <c r="H10" s="971">
        <v>2</v>
      </c>
      <c r="I10" s="972">
        <f>Reit!Q65</f>
        <v>22</v>
      </c>
    </row>
    <row r="11" spans="1:9" x14ac:dyDescent="0.2">
      <c r="A11" s="991" t="s">
        <v>33</v>
      </c>
      <c r="B11" s="986" t="s">
        <v>17</v>
      </c>
      <c r="C11" s="987" t="s">
        <v>34</v>
      </c>
      <c r="D11" s="987" t="s">
        <v>19</v>
      </c>
      <c r="E11" s="24" t="str">
        <f>HYPERLINK("#3!J1","3")</f>
        <v>3</v>
      </c>
      <c r="F11" s="998" t="str">
        <f>HYPERLINK("https://kaart.delfi.ee/?bookmark=2456dbce930692d81ec761beacb7a00a","Voka staadion")</f>
        <v>Voka staadion</v>
      </c>
      <c r="G11" s="970" t="s">
        <v>15</v>
      </c>
      <c r="H11" s="971">
        <v>2</v>
      </c>
      <c r="I11" s="972">
        <f>Reit!R65</f>
        <v>25</v>
      </c>
    </row>
    <row r="12" spans="1:9" x14ac:dyDescent="0.2">
      <c r="A12" s="973" t="s">
        <v>35</v>
      </c>
      <c r="B12" s="988" t="s">
        <v>22</v>
      </c>
      <c r="C12" s="989" t="s">
        <v>36</v>
      </c>
      <c r="D12" s="989" t="s">
        <v>24</v>
      </c>
      <c r="E12" s="32" t="str">
        <f>HYPERLINK("#V2!G1","V2")</f>
        <v>V2</v>
      </c>
      <c r="F12" s="45" t="str">
        <f>HYPERLINK("https://kaart.delfi.ee/?bookmark=2456dbce930692d81ec761beacb7a00a","Voka staadion")</f>
        <v>Voka staadion</v>
      </c>
      <c r="G12" s="973" t="s">
        <v>15</v>
      </c>
      <c r="H12" s="974">
        <v>2</v>
      </c>
      <c r="I12" s="975">
        <f>V!AA63</f>
        <v>29</v>
      </c>
    </row>
    <row r="13" spans="1:9" x14ac:dyDescent="0.2">
      <c r="A13" s="961" t="s">
        <v>37</v>
      </c>
      <c r="B13" s="978" t="s">
        <v>26</v>
      </c>
      <c r="C13" s="979" t="str">
        <f>HYPERLINK("https://www.petanque.ee/index.php?id=103785&amp;cid=658","1. Eesti MV 55+ (EM katsev.)")</f>
        <v>1. Eesti MV 55+ (EM katsev.)</v>
      </c>
      <c r="D13" s="994" t="s">
        <v>19</v>
      </c>
      <c r="E13" s="14" t="str">
        <f>HYPERLINK("https://www.petanque.ee/juhendid/tiitlivoistluste-katsevoistluste-juhend/","juh")</f>
        <v>juh</v>
      </c>
      <c r="F13" s="995" t="str">
        <f>HYPERLINK("https://kaart.delfi.ee/?bookmark=521b80d6ceeefbe3e5d227267242b576","K-Järve spordihoone")</f>
        <v>K-Järve spordihoone</v>
      </c>
      <c r="G13" s="961" t="s">
        <v>28</v>
      </c>
      <c r="H13" s="962">
        <v>10</v>
      </c>
      <c r="I13" s="963">
        <v>18</v>
      </c>
    </row>
    <row r="14" spans="1:9" x14ac:dyDescent="0.2">
      <c r="A14" s="961" t="s">
        <v>38</v>
      </c>
      <c r="B14" s="978" t="s">
        <v>26</v>
      </c>
      <c r="C14" s="979" t="str">
        <f>HYPERLINK("https://www.petanque.ee/index.php?id=103785&amp;cid=659","1. Eesti MV 55+ (EM katsev.)")</f>
        <v>1. Eesti MV 55+ (EM katsev.)</v>
      </c>
      <c r="D14" s="994" t="s">
        <v>19</v>
      </c>
      <c r="E14" s="15"/>
      <c r="F14" s="995" t="str">
        <f>HYPERLINK("https://kaart.delfi.ee/?bookmark=521b80d6ceeefbe3e5d227267242b576","K-Järve spordihoone")</f>
        <v>K-Järve spordihoone</v>
      </c>
      <c r="G14" s="961" t="s">
        <v>28</v>
      </c>
      <c r="H14" s="962"/>
      <c r="I14" s="963">
        <v>12</v>
      </c>
    </row>
    <row r="15" spans="1:9" x14ac:dyDescent="0.2">
      <c r="A15" s="1022" t="s">
        <v>38</v>
      </c>
      <c r="B15" s="1023" t="s">
        <v>17</v>
      </c>
      <c r="C15" s="1024" t="str">
        <f>HYPERLINK("https://webzone.ee/petankt/tabelid/esl-2019.xlsx","16.ESL individ-võistk MV (35+)")</f>
        <v>16.ESL individ-võistk MV (35+)</v>
      </c>
      <c r="D15" s="1025" t="s">
        <v>39</v>
      </c>
      <c r="E15" s="1026" t="str">
        <f>HYPERLINK("https://webzone.ee/petank/juhendid/esl-2019-juhend.pdf","juh")</f>
        <v>juh</v>
      </c>
      <c r="F15" s="1027" t="str">
        <f>HYPERLINK("https://kaart.delfi.ee/?bookmark=2456dbce930692d81ec761beacb7a00a","Voka staadion")</f>
        <v>Voka staadion</v>
      </c>
      <c r="G15" s="1025" t="s">
        <v>40</v>
      </c>
      <c r="H15" s="1028">
        <v>8</v>
      </c>
      <c r="I15" s="1029">
        <v>73</v>
      </c>
    </row>
    <row r="16" spans="1:9" x14ac:dyDescent="0.2">
      <c r="A16" s="16" t="s">
        <v>41</v>
      </c>
      <c r="B16" s="17"/>
      <c r="C16" s="18"/>
      <c r="D16" s="18"/>
      <c r="E16" s="19"/>
      <c r="F16" s="18"/>
      <c r="G16" s="18"/>
      <c r="H16" s="20"/>
      <c r="I16" s="21"/>
    </row>
    <row r="17" spans="1:9" x14ac:dyDescent="0.2">
      <c r="A17" s="991" t="s">
        <v>42</v>
      </c>
      <c r="B17" s="986" t="s">
        <v>17</v>
      </c>
      <c r="C17" s="987" t="s">
        <v>34</v>
      </c>
      <c r="D17" s="987" t="s">
        <v>24</v>
      </c>
      <c r="E17" s="24" t="str">
        <f>HYPERLINK("#4!J1","4")</f>
        <v>4</v>
      </c>
      <c r="F17" s="998" t="str">
        <f>HYPERLINK("https://kaart.delfi.ee/?bookmark=2456dbce930692d81ec761beacb7a00a","Voka staadion")</f>
        <v>Voka staadion</v>
      </c>
      <c r="G17" s="970" t="s">
        <v>15</v>
      </c>
      <c r="H17" s="971">
        <v>2</v>
      </c>
      <c r="I17" s="972">
        <f>Reit!S65</f>
        <v>25</v>
      </c>
    </row>
    <row r="18" spans="1:9" x14ac:dyDescent="0.2">
      <c r="A18" s="973" t="s">
        <v>43</v>
      </c>
      <c r="B18" s="988" t="s">
        <v>22</v>
      </c>
      <c r="C18" s="989" t="s">
        <v>44</v>
      </c>
      <c r="D18" s="989" t="s">
        <v>24</v>
      </c>
      <c r="E18" s="32" t="str">
        <f>HYPERLINK("#V3!G1","V3")</f>
        <v>V3</v>
      </c>
      <c r="F18" s="45" t="str">
        <f>HYPERLINK("https://kaart.delfi.ee/?bookmark=2456dbce930692d81ec761beacb7a00a","Voka staadion")</f>
        <v>Voka staadion</v>
      </c>
      <c r="G18" s="973" t="s">
        <v>15</v>
      </c>
      <c r="H18" s="974">
        <v>2</v>
      </c>
      <c r="I18" s="975">
        <f>V!AB63</f>
        <v>23</v>
      </c>
    </row>
    <row r="19" spans="1:9" x14ac:dyDescent="0.2">
      <c r="A19" s="987" t="s">
        <v>45</v>
      </c>
      <c r="B19" s="986" t="s">
        <v>22</v>
      </c>
      <c r="C19" s="987" t="s">
        <v>46</v>
      </c>
      <c r="D19" s="987" t="s">
        <v>39</v>
      </c>
      <c r="E19" s="24" t="str">
        <f>HYPERLINK("#5!J1","5")</f>
        <v>5</v>
      </c>
      <c r="F19" s="998" t="str">
        <f>HYPERLINK("https://kaart.delfi.ee/?bookmark=521b80d6ceeefbe3e5d227267242b576","K-Järve spordihoone")</f>
        <v>K-Järve spordihoone</v>
      </c>
      <c r="G19" s="976" t="s">
        <v>20</v>
      </c>
      <c r="H19" s="971">
        <v>2</v>
      </c>
      <c r="I19" s="972">
        <f>Reit!T65</f>
        <v>20</v>
      </c>
    </row>
    <row r="20" spans="1:9" x14ac:dyDescent="0.2">
      <c r="A20" s="980" t="s">
        <v>47</v>
      </c>
      <c r="B20" s="981" t="s">
        <v>17</v>
      </c>
      <c r="C20" s="982" t="str">
        <f>HYPERLINK("https://www.petanque.ee/index.php?id=103785&amp;cid=663","29. Eesti MV")</f>
        <v>29. Eesti MV</v>
      </c>
      <c r="D20" s="980" t="s">
        <v>39</v>
      </c>
      <c r="E20" s="22" t="str">
        <f>HYPERLINK("https://www.petanque.ee/index.php?id=103785&amp;cid=663","e3")</f>
        <v>e3</v>
      </c>
      <c r="F20" s="996" t="str">
        <f>HYPERLINK("https://kaart.delfi.ee/?bookmark=2456dbce930692d81ec761beacb7a00a","Voka staadion")</f>
        <v>Voka staadion</v>
      </c>
      <c r="G20" s="964" t="s">
        <v>28</v>
      </c>
      <c r="H20" s="965">
        <v>8</v>
      </c>
      <c r="I20" s="966">
        <v>58</v>
      </c>
    </row>
    <row r="21" spans="1:9" x14ac:dyDescent="0.2">
      <c r="A21" s="980" t="s">
        <v>48</v>
      </c>
      <c r="B21" s="981" t="s">
        <v>26</v>
      </c>
      <c r="C21" s="982" t="str">
        <f>HYPERLINK("https://www.petanque.ee/index.php?id=103785&amp;cid=664","Eesti reiting, 6. Viru karikas")</f>
        <v>Eesti reiting, 6. Viru karikas</v>
      </c>
      <c r="D21" s="980" t="s">
        <v>24</v>
      </c>
      <c r="E21" s="22" t="str">
        <f>HYPERLINK("https://www.petanque.ee/index.php?id=103785&amp;cid=664","e4")</f>
        <v>e4</v>
      </c>
      <c r="F21" s="996" t="str">
        <f>HYPERLINK("https://kaart.delfi.ee/?bookmark=521b80d6ceeefbe3e5d227267242b576","K-Järve spordihoone")</f>
        <v>K-Järve spordihoone</v>
      </c>
      <c r="G21" s="964" t="s">
        <v>28</v>
      </c>
      <c r="H21" s="965">
        <v>8</v>
      </c>
      <c r="I21" s="966">
        <v>46</v>
      </c>
    </row>
    <row r="22" spans="1:9" x14ac:dyDescent="0.2">
      <c r="A22" s="973" t="s">
        <v>49</v>
      </c>
      <c r="B22" s="988" t="s">
        <v>22</v>
      </c>
      <c r="C22" s="989" t="s">
        <v>50</v>
      </c>
      <c r="D22" s="989" t="s">
        <v>24</v>
      </c>
      <c r="E22" s="32" t="str">
        <f>HYPERLINK("#V4!G1","V4")</f>
        <v>V4</v>
      </c>
      <c r="F22" s="45" t="str">
        <f>HYPERLINK("https://kaart.delfi.ee/?bookmark=2456dbce930692d81ec761beacb7a00a","Voka staadion")</f>
        <v>Voka staadion</v>
      </c>
      <c r="G22" s="973" t="s">
        <v>15</v>
      </c>
      <c r="H22" s="974">
        <v>2</v>
      </c>
      <c r="I22" s="975">
        <f>V!AC63</f>
        <v>25</v>
      </c>
    </row>
    <row r="23" spans="1:9" x14ac:dyDescent="0.2">
      <c r="A23" s="1003" t="s">
        <v>51</v>
      </c>
      <c r="B23" s="1004" t="s">
        <v>22</v>
      </c>
      <c r="C23" s="1005" t="s">
        <v>52</v>
      </c>
      <c r="D23" s="1005" t="s">
        <v>39</v>
      </c>
      <c r="E23" s="1006"/>
      <c r="F23" s="1007" t="str">
        <f>HYPERLINK("https://kaart.delfi.ee/?bookmark=2456dbce930692d81ec761beacb7a00a","Voka staadion")</f>
        <v>Voka staadion</v>
      </c>
      <c r="G23" s="1005" t="s">
        <v>15</v>
      </c>
      <c r="H23" s="1008">
        <v>2</v>
      </c>
      <c r="I23" s="1009"/>
    </row>
    <row r="24" spans="1:9" x14ac:dyDescent="0.2">
      <c r="A24" s="983" t="s">
        <v>53</v>
      </c>
      <c r="B24" s="984" t="s">
        <v>17</v>
      </c>
      <c r="C24" s="967" t="s">
        <v>54</v>
      </c>
      <c r="D24" s="967" t="s">
        <v>39</v>
      </c>
      <c r="E24" s="23" t="str">
        <f>HYPERLINK("#Mu!J1","Mu")</f>
        <v>Mu</v>
      </c>
      <c r="F24" s="997" t="str">
        <f>HYPERLINK("https://kaart.delfi.ee/?bookmark=2456dbce930692d81ec761beacb7a00a","Voka staadion")</f>
        <v>Voka staadion</v>
      </c>
      <c r="G24" s="967" t="s">
        <v>55</v>
      </c>
      <c r="H24" s="968">
        <v>2</v>
      </c>
      <c r="I24" s="969"/>
    </row>
    <row r="25" spans="1:9" x14ac:dyDescent="0.2">
      <c r="A25" s="985" t="s">
        <v>56</v>
      </c>
      <c r="B25" s="986" t="s">
        <v>17</v>
      </c>
      <c r="C25" s="987" t="s">
        <v>57</v>
      </c>
      <c r="D25" s="987" t="s">
        <v>24</v>
      </c>
      <c r="E25" s="24" t="str">
        <f>HYPERLINK("#6!J1","6")</f>
        <v>6</v>
      </c>
      <c r="F25" s="998" t="str">
        <f>HYPERLINK("https://kaart.delfi.ee/?bookmark=2456dbce930692d81ec761beacb7a00a","Voka staadion")</f>
        <v>Voka staadion</v>
      </c>
      <c r="G25" s="970" t="s">
        <v>15</v>
      </c>
      <c r="H25" s="971">
        <v>2</v>
      </c>
      <c r="I25" s="972">
        <f>Reit!U65</f>
        <v>36</v>
      </c>
    </row>
    <row r="26" spans="1:9" x14ac:dyDescent="0.2">
      <c r="A26" s="26" t="s">
        <v>58</v>
      </c>
      <c r="B26" s="27"/>
      <c r="C26" s="28"/>
      <c r="D26" s="28"/>
      <c r="E26" s="29"/>
      <c r="F26" s="28"/>
      <c r="G26" s="28"/>
      <c r="H26" s="30"/>
      <c r="I26" s="31"/>
    </row>
    <row r="27" spans="1:9" x14ac:dyDescent="0.2">
      <c r="A27" s="987" t="s">
        <v>59</v>
      </c>
      <c r="B27" s="986" t="s">
        <v>22</v>
      </c>
      <c r="C27" s="987" t="s">
        <v>57</v>
      </c>
      <c r="D27" s="987" t="s">
        <v>60</v>
      </c>
      <c r="E27" s="1002" t="str">
        <f>HYPERLINK("#7!J1","7")</f>
        <v>7</v>
      </c>
      <c r="F27" s="998" t="str">
        <f>HYPERLINK("http://kaart.delfi.ee//?bookmark=1840db012ef3a4aff78d37f1f3ff52b8","K-Järve spordihoone")</f>
        <v>K-Järve spordihoone</v>
      </c>
      <c r="G27" s="976" t="s">
        <v>20</v>
      </c>
      <c r="H27" s="971">
        <v>2</v>
      </c>
      <c r="I27" s="972">
        <f ca="1">Reit!V65</f>
        <v>15</v>
      </c>
    </row>
    <row r="28" spans="1:9" x14ac:dyDescent="0.2">
      <c r="A28" s="973" t="s">
        <v>61</v>
      </c>
      <c r="B28" s="988" t="s">
        <v>22</v>
      </c>
      <c r="C28" s="989" t="s">
        <v>62</v>
      </c>
      <c r="D28" s="989" t="s">
        <v>24</v>
      </c>
      <c r="E28" s="32" t="str">
        <f>HYPERLINK("#V5!G1","V5")</f>
        <v>V5</v>
      </c>
      <c r="F28" s="45" t="str">
        <f>HYPERLINK("https://kaart.delfi.ee/?bookmark=2456dbce930692d81ec761beacb7a00a","Voka staadion")</f>
        <v>Voka staadion</v>
      </c>
      <c r="G28" s="973" t="s">
        <v>15</v>
      </c>
      <c r="H28" s="974">
        <v>2</v>
      </c>
      <c r="I28" s="975">
        <f>V!AD63</f>
        <v>28</v>
      </c>
    </row>
    <row r="29" spans="1:9" x14ac:dyDescent="0.2">
      <c r="A29" s="987" t="s">
        <v>63</v>
      </c>
      <c r="B29" s="990" t="s">
        <v>22</v>
      </c>
      <c r="C29" s="987" t="s">
        <v>64</v>
      </c>
      <c r="D29" s="985" t="s">
        <v>24</v>
      </c>
      <c r="E29" s="24" t="str">
        <f>HYPERLINK("#8!J1","8")</f>
        <v>8</v>
      </c>
      <c r="F29" s="998" t="str">
        <f>HYPERLINK("https://kaart.delfi.ee/?bookmark=521b80d6ceeefbe3e5d227267242b576","K-Järve spordihoone")</f>
        <v>K-Järve spordihoone</v>
      </c>
      <c r="G29" s="976" t="s">
        <v>20</v>
      </c>
      <c r="H29" s="971">
        <v>2</v>
      </c>
      <c r="I29" s="972">
        <f>Reit!W65</f>
        <v>22</v>
      </c>
    </row>
    <row r="30" spans="1:9" x14ac:dyDescent="0.2">
      <c r="A30" s="973" t="s">
        <v>65</v>
      </c>
      <c r="B30" s="988" t="s">
        <v>22</v>
      </c>
      <c r="C30" s="989" t="s">
        <v>66</v>
      </c>
      <c r="D30" s="989" t="s">
        <v>24</v>
      </c>
      <c r="E30" s="32" t="str">
        <f>HYPERLINK("#V6!G1","V6")</f>
        <v>V6</v>
      </c>
      <c r="F30" s="45" t="str">
        <f>HYPERLINK("https://kaart.delfi.ee/?bookmark=2456dbce930692d81ec761beacb7a00a","Voka staadion")</f>
        <v>Voka staadion</v>
      </c>
      <c r="G30" s="973" t="s">
        <v>15</v>
      </c>
      <c r="H30" s="974">
        <v>2</v>
      </c>
      <c r="I30" s="975">
        <f>V!AE63</f>
        <v>28</v>
      </c>
    </row>
    <row r="31" spans="1:9" x14ac:dyDescent="0.2">
      <c r="A31" s="987" t="s">
        <v>67</v>
      </c>
      <c r="B31" s="986" t="s">
        <v>17</v>
      </c>
      <c r="C31" s="987" t="s">
        <v>57</v>
      </c>
      <c r="D31" s="987" t="s">
        <v>19</v>
      </c>
      <c r="E31" s="24" t="str">
        <f>HYPERLINK("#9!J1","9")</f>
        <v>9</v>
      </c>
      <c r="F31" s="999" t="str">
        <f>HYPERLINK("https://kaart.delfi.ee/?bookmark=4c0b1b0c24ff9f4919899a9546bf50f1","Jõhvi, Neptun")</f>
        <v>Jõhvi, Neptun</v>
      </c>
      <c r="G31" s="976" t="s">
        <v>20</v>
      </c>
      <c r="H31" s="971">
        <v>2</v>
      </c>
      <c r="I31" s="972">
        <f>Reit!X65</f>
        <v>33</v>
      </c>
    </row>
    <row r="32" spans="1:9" x14ac:dyDescent="0.2">
      <c r="A32" s="26" t="s">
        <v>68</v>
      </c>
      <c r="B32" s="27"/>
      <c r="C32" s="28"/>
      <c r="D32" s="28"/>
      <c r="E32" s="33"/>
      <c r="F32" s="28"/>
      <c r="G32" s="28"/>
      <c r="H32" s="34"/>
      <c r="I32" s="31"/>
    </row>
    <row r="33" spans="1:9" x14ac:dyDescent="0.2">
      <c r="A33" s="987" t="s">
        <v>69</v>
      </c>
      <c r="B33" s="986" t="s">
        <v>22</v>
      </c>
      <c r="C33" s="987" t="s">
        <v>70</v>
      </c>
      <c r="D33" s="987" t="s">
        <v>19</v>
      </c>
      <c r="E33" s="24" t="str">
        <f>HYPERLINK("#10!J1","10")</f>
        <v>10</v>
      </c>
      <c r="F33" s="998" t="str">
        <f>HYPERLINK("https://kaart.delfi.ee/?bookmark=521b80d6ceeefbe3e5d227267242b576","K-Järve spordihoone")</f>
        <v>K-Järve spordihoone</v>
      </c>
      <c r="G33" s="976" t="s">
        <v>20</v>
      </c>
      <c r="H33" s="971">
        <v>2</v>
      </c>
      <c r="I33" s="972">
        <f>Reit!Y65</f>
        <v>19</v>
      </c>
    </row>
    <row r="34" spans="1:9" x14ac:dyDescent="0.2">
      <c r="A34" s="973" t="s">
        <v>71</v>
      </c>
      <c r="B34" s="988" t="s">
        <v>22</v>
      </c>
      <c r="C34" s="989" t="s">
        <v>72</v>
      </c>
      <c r="D34" s="989" t="s">
        <v>24</v>
      </c>
      <c r="E34" s="32" t="str">
        <f>HYPERLINK("#V7!G1","V7")</f>
        <v>V7</v>
      </c>
      <c r="F34" s="45" t="str">
        <f>HYPERLINK("https://kaart.delfi.ee/?bookmark=2456dbce930692d81ec761beacb7a00a","Voka staadion")</f>
        <v>Voka staadion</v>
      </c>
      <c r="G34" s="973" t="s">
        <v>15</v>
      </c>
      <c r="H34" s="974">
        <v>2</v>
      </c>
      <c r="I34" s="975">
        <f>V!AF63</f>
        <v>25</v>
      </c>
    </row>
    <row r="35" spans="1:9" x14ac:dyDescent="0.2">
      <c r="A35" s="1000" t="s">
        <v>73</v>
      </c>
      <c r="B35" s="1001" t="s">
        <v>17</v>
      </c>
      <c r="C35" s="987" t="s">
        <v>64</v>
      </c>
      <c r="D35" s="985" t="s">
        <v>39</v>
      </c>
      <c r="E35" s="24" t="str">
        <f>HYPERLINK("#11!J1","11")</f>
        <v>11</v>
      </c>
      <c r="F35" s="998" t="str">
        <f>HYPERLINK("https://kaart.delfi.ee/?bookmark=521b80d6ceeefbe3e5d227267242b576","K-Järve spordihoone")</f>
        <v>K-Järve spordihoone</v>
      </c>
      <c r="G35" s="976" t="s">
        <v>20</v>
      </c>
      <c r="H35" s="971">
        <v>2</v>
      </c>
      <c r="I35" s="972">
        <f>Reit!Z65</f>
        <v>26</v>
      </c>
    </row>
    <row r="36" spans="1:9" x14ac:dyDescent="0.2">
      <c r="A36" s="973" t="s">
        <v>74</v>
      </c>
      <c r="B36" s="988" t="s">
        <v>22</v>
      </c>
      <c r="C36" s="989" t="s">
        <v>75</v>
      </c>
      <c r="D36" s="989" t="s">
        <v>24</v>
      </c>
      <c r="E36" s="32" t="str">
        <f>HYPERLINK("#V8!G1","V8")</f>
        <v>V8</v>
      </c>
      <c r="F36" s="45" t="str">
        <f>HYPERLINK("https://kaart.delfi.ee/?bookmark=2456dbce930692d81ec761beacb7a00a","Voka staadion")</f>
        <v>Voka staadion</v>
      </c>
      <c r="G36" s="973" t="s">
        <v>15</v>
      </c>
      <c r="H36" s="974">
        <v>2</v>
      </c>
      <c r="I36" s="975">
        <f>V!AG63</f>
        <v>26</v>
      </c>
    </row>
    <row r="37" spans="1:9" x14ac:dyDescent="0.2">
      <c r="A37" s="991" t="s">
        <v>76</v>
      </c>
      <c r="B37" s="986" t="s">
        <v>17</v>
      </c>
      <c r="C37" s="987" t="s">
        <v>34</v>
      </c>
      <c r="D37" s="987" t="s">
        <v>39</v>
      </c>
      <c r="E37" s="24" t="str">
        <f>HYPERLINK("#12!J1","12")</f>
        <v>12</v>
      </c>
      <c r="F37" s="998" t="str">
        <f>HYPERLINK("https://kaart.delfi.ee/?bookmark=2456dbce930692d81ec761beacb7a00a","Voka staadion")</f>
        <v>Voka staadion</v>
      </c>
      <c r="G37" s="970" t="s">
        <v>15</v>
      </c>
      <c r="H37" s="971">
        <v>2</v>
      </c>
      <c r="I37" s="972">
        <f>Reit!AA65</f>
        <v>22</v>
      </c>
    </row>
    <row r="38" spans="1:9" x14ac:dyDescent="0.2">
      <c r="A38" s="16" t="s">
        <v>77</v>
      </c>
      <c r="B38" s="17"/>
      <c r="C38" s="18"/>
      <c r="D38" s="18"/>
      <c r="E38" s="19"/>
      <c r="F38" s="18"/>
      <c r="G38" s="18"/>
      <c r="H38" s="20"/>
      <c r="I38" s="21"/>
    </row>
    <row r="39" spans="1:9" x14ac:dyDescent="0.2">
      <c r="A39" s="987" t="s">
        <v>78</v>
      </c>
      <c r="B39" s="986" t="s">
        <v>17</v>
      </c>
      <c r="C39" s="987" t="s">
        <v>79</v>
      </c>
      <c r="D39" s="987" t="s">
        <v>39</v>
      </c>
      <c r="E39" s="24" t="str">
        <f>HYPERLINK("#13!L1","13")</f>
        <v>13</v>
      </c>
      <c r="F39" s="999" t="str">
        <f>HYPERLINK("https://kaart.delfi.ee/?bookmark=4c0b1b0c24ff9f4919899a9546bf50f1","Jõhvi, Neptun")</f>
        <v>Jõhvi, Neptun</v>
      </c>
      <c r="G39" s="976" t="s">
        <v>80</v>
      </c>
      <c r="H39" s="971">
        <v>1</v>
      </c>
      <c r="I39" s="972">
        <f>Reit!AB65</f>
        <v>22</v>
      </c>
    </row>
    <row r="40" spans="1:9" x14ac:dyDescent="0.2">
      <c r="A40" s="973" t="s">
        <v>81</v>
      </c>
      <c r="B40" s="988" t="s">
        <v>22</v>
      </c>
      <c r="C40" s="989" t="s">
        <v>82</v>
      </c>
      <c r="D40" s="989" t="s">
        <v>24</v>
      </c>
      <c r="E40" s="32" t="str">
        <f>HYPERLINK("#V9!G1","V9")</f>
        <v>V9</v>
      </c>
      <c r="F40" s="45" t="str">
        <f t="shared" ref="F40:F41" si="0">HYPERLINK("https://kaart.delfi.ee/?bookmark=2456dbce930692d81ec761beacb7a00a","Voka staadion")</f>
        <v>Voka staadion</v>
      </c>
      <c r="G40" s="973" t="s">
        <v>15</v>
      </c>
      <c r="H40" s="974">
        <v>2</v>
      </c>
      <c r="I40" s="975">
        <f>V!AH63</f>
        <v>20</v>
      </c>
    </row>
    <row r="41" spans="1:9" x14ac:dyDescent="0.2">
      <c r="A41" s="987" t="s">
        <v>83</v>
      </c>
      <c r="B41" s="986" t="s">
        <v>17</v>
      </c>
      <c r="C41" s="987" t="s">
        <v>57</v>
      </c>
      <c r="D41" s="987" t="s">
        <v>39</v>
      </c>
      <c r="E41" s="24" t="str">
        <f>HYPERLINK("#14!L1","14")</f>
        <v>14</v>
      </c>
      <c r="F41" s="25" t="str">
        <f t="shared" si="0"/>
        <v>Voka staadion</v>
      </c>
      <c r="G41" s="987" t="s">
        <v>20</v>
      </c>
      <c r="H41" s="971">
        <v>2</v>
      </c>
      <c r="I41" s="972">
        <f>Reit!AC65</f>
        <v>24</v>
      </c>
    </row>
    <row r="42" spans="1:9" x14ac:dyDescent="0.2">
      <c r="A42" s="973" t="s">
        <v>84</v>
      </c>
      <c r="B42" s="988" t="s">
        <v>22</v>
      </c>
      <c r="C42" s="989" t="s">
        <v>85</v>
      </c>
      <c r="D42" s="989" t="s">
        <v>24</v>
      </c>
      <c r="E42" s="32" t="str">
        <f>HYPERLINK("#V10!o1","V10")</f>
        <v>V10</v>
      </c>
      <c r="F42" s="1030" t="str">
        <f>HYPERLINK("https://kaart.delfi.ee/?bookmark=236e0f8de3f3d8e7138807663f9b5d14","Voka petangihall")</f>
        <v>Voka petangihall</v>
      </c>
      <c r="G42" s="973" t="s">
        <v>15</v>
      </c>
      <c r="H42" s="974">
        <v>2</v>
      </c>
      <c r="I42" s="975">
        <f>V!AI63</f>
        <v>24</v>
      </c>
    </row>
    <row r="43" spans="1:9" x14ac:dyDescent="0.2">
      <c r="A43" s="977" t="s">
        <v>86</v>
      </c>
      <c r="B43" s="992" t="s">
        <v>17</v>
      </c>
      <c r="C43" s="973" t="s">
        <v>87</v>
      </c>
      <c r="D43" s="989" t="s">
        <v>39</v>
      </c>
      <c r="E43" s="32" t="str">
        <f>HYPERLINK("#'V-Fin'!K1","V-Fin")</f>
        <v>V-Fin</v>
      </c>
      <c r="F43" s="1030" t="str">
        <f>HYPERLINK("https://kaart.delfi.ee/?bookmark=236e0f8de3f3d8e7138807663f9b5d14","Voka petangihall")</f>
        <v>Voka petangihall</v>
      </c>
      <c r="G43" s="977" t="s">
        <v>15</v>
      </c>
      <c r="H43" s="974">
        <v>2</v>
      </c>
      <c r="I43" s="975">
        <f>V!AM63</f>
        <v>28</v>
      </c>
    </row>
    <row r="44" spans="1:9" x14ac:dyDescent="0.2">
      <c r="A44" s="16" t="s">
        <v>89</v>
      </c>
      <c r="B44" s="17"/>
      <c r="C44" s="18"/>
      <c r="D44" s="18"/>
      <c r="E44" s="19"/>
      <c r="F44" s="18"/>
      <c r="G44" s="18"/>
      <c r="H44" s="20"/>
      <c r="I44" s="21"/>
    </row>
    <row r="45" spans="1:9" x14ac:dyDescent="0.2">
      <c r="A45" s="993" t="s">
        <v>90</v>
      </c>
      <c r="B45" s="35" t="s">
        <v>17</v>
      </c>
      <c r="C45" s="36" t="s">
        <v>91</v>
      </c>
      <c r="D45" s="36" t="s">
        <v>39</v>
      </c>
      <c r="E45" s="37" t="str">
        <f>HYPERLINK("#L!W1","L")</f>
        <v>L</v>
      </c>
      <c r="F45" s="25" t="str">
        <f>HYPERLINK("https://kaart.delfi.ee/?bookmark=521b80d6ceeefbe3e5d227267242b576","K-Järve spordihoone")</f>
        <v>K-Järve spordihoone</v>
      </c>
      <c r="G45" s="36" t="s">
        <v>20</v>
      </c>
      <c r="H45" s="38">
        <v>0</v>
      </c>
      <c r="I45" s="39">
        <v>15</v>
      </c>
    </row>
    <row r="46" spans="1:9" ht="13.5" hidden="1" thickBot="1" x14ac:dyDescent="0.25">
      <c r="A46" s="40" t="s">
        <v>92</v>
      </c>
      <c r="B46" s="41" t="s">
        <v>17</v>
      </c>
      <c r="C46" s="42" t="s">
        <v>93</v>
      </c>
      <c r="D46" s="43" t="s">
        <v>39</v>
      </c>
      <c r="E46" s="44" t="str">
        <f>HYPERLINK("#'V-PL'!w1","V-PL")</f>
        <v>V-PL</v>
      </c>
      <c r="F46" s="45" t="str">
        <f>HYPERLINK("https://kaart.delfi.ee/?bookmark=2456dbce930692d81ec761beacb7a00a","Voka staadion")</f>
        <v>Voka staadion</v>
      </c>
      <c r="G46" s="46" t="s">
        <v>55</v>
      </c>
      <c r="H46" s="47" t="s">
        <v>88</v>
      </c>
      <c r="I46" s="48"/>
    </row>
    <row r="47" spans="1:9" ht="13.5" hidden="1" thickTop="1" x14ac:dyDescent="0.2">
      <c r="A47" s="49" t="s">
        <v>90</v>
      </c>
      <c r="B47" s="50" t="s">
        <v>17</v>
      </c>
      <c r="C47" s="51" t="s">
        <v>94</v>
      </c>
      <c r="D47" s="52" t="s">
        <v>39</v>
      </c>
      <c r="E47" s="53" t="str">
        <f>HYPERLINK("#'V-Extr'!G1","V-Extr")</f>
        <v>V-Extr</v>
      </c>
      <c r="F47" s="54" t="str">
        <f>HYPERLINK("https://kaart.delfi.ee/?bookmark=2456dbce930692d81ec761beacb7a00a","Voka staadion")</f>
        <v>Voka staadion</v>
      </c>
      <c r="G47" s="55" t="s">
        <v>15</v>
      </c>
      <c r="H47" s="56">
        <v>2</v>
      </c>
      <c r="I47" s="57"/>
    </row>
    <row r="48" spans="1:9" x14ac:dyDescent="0.2">
      <c r="A48" s="58"/>
      <c r="B48" s="18"/>
      <c r="C48" s="18"/>
      <c r="D48" s="18"/>
      <c r="E48" s="18"/>
      <c r="F48" s="18"/>
      <c r="G48" s="18"/>
      <c r="H48" s="18"/>
      <c r="I48" s="18"/>
    </row>
    <row r="49" spans="1:9" x14ac:dyDescent="0.2">
      <c r="A49" s="59" t="s">
        <v>95</v>
      </c>
      <c r="B49" s="1"/>
      <c r="C49" s="1"/>
      <c r="D49" s="1"/>
      <c r="E49" s="1"/>
      <c r="F49" s="1"/>
      <c r="G49" s="1"/>
      <c r="H49" s="1"/>
      <c r="I49" s="1"/>
    </row>
    <row r="50" spans="1:9" x14ac:dyDescent="0.2">
      <c r="A50" s="60" t="s">
        <v>96</v>
      </c>
      <c r="B50" s="1"/>
      <c r="C50" s="1"/>
      <c r="D50" s="1"/>
      <c r="E50" s="1"/>
      <c r="F50" s="1"/>
      <c r="G50" s="1"/>
      <c r="H50" s="1"/>
      <c r="I50" s="1"/>
    </row>
    <row r="51" spans="1:9" x14ac:dyDescent="0.2">
      <c r="A51" s="61" t="s">
        <v>97</v>
      </c>
      <c r="B51" s="62"/>
      <c r="C51" s="62"/>
      <c r="D51" s="4"/>
      <c r="E51" s="4"/>
      <c r="F51" s="4"/>
      <c r="G51" s="4"/>
      <c r="H51" s="4"/>
      <c r="I51" s="4"/>
    </row>
    <row r="52" spans="1:9" x14ac:dyDescent="0.2">
      <c r="A52" s="61" t="s">
        <v>98</v>
      </c>
      <c r="B52" s="62"/>
      <c r="C52" s="62"/>
      <c r="D52" s="62"/>
      <c r="E52" s="62"/>
      <c r="F52" s="62"/>
      <c r="G52" s="62"/>
      <c r="H52" s="62"/>
      <c r="I52" s="62"/>
    </row>
    <row r="53" spans="1:9" x14ac:dyDescent="0.2">
      <c r="A53" s="63" t="s">
        <v>99</v>
      </c>
      <c r="B53" s="64"/>
      <c r="C53" s="64"/>
      <c r="D53" s="4"/>
      <c r="E53" s="4"/>
      <c r="F53" s="4"/>
      <c r="G53" s="4"/>
      <c r="H53" s="65"/>
      <c r="I53" s="4"/>
    </row>
    <row r="54" spans="1:9" x14ac:dyDescent="0.2">
      <c r="A54" s="66" t="s">
        <v>100</v>
      </c>
      <c r="B54" s="1"/>
      <c r="C54" s="1"/>
      <c r="D54" s="1"/>
      <c r="E54" s="1"/>
      <c r="F54" s="1"/>
      <c r="G54" s="1"/>
      <c r="H54" s="1"/>
      <c r="I54" s="1"/>
    </row>
    <row r="55" spans="1:9" x14ac:dyDescent="0.2">
      <c r="A55" s="1"/>
      <c r="B55" s="1"/>
      <c r="C55" s="1"/>
      <c r="D55" s="1"/>
      <c r="E55" s="1"/>
      <c r="F55" s="1"/>
      <c r="G55" s="1"/>
      <c r="H55" s="1"/>
      <c r="I55" s="1"/>
    </row>
    <row r="56" spans="1:9" x14ac:dyDescent="0.2">
      <c r="F56" s="67"/>
    </row>
    <row r="57" spans="1:9" x14ac:dyDescent="0.2">
      <c r="F57" s="67"/>
    </row>
    <row r="58" spans="1:9" x14ac:dyDescent="0.2">
      <c r="F58" s="67"/>
    </row>
    <row r="59" spans="1:9" x14ac:dyDescent="0.2">
      <c r="F59" s="67"/>
    </row>
    <row r="60" spans="1:9" x14ac:dyDescent="0.2">
      <c r="F60" s="67"/>
    </row>
    <row r="61" spans="1:9" x14ac:dyDescent="0.2">
      <c r="F61" s="67"/>
    </row>
  </sheetData>
  <conditionalFormatting sqref="I5:I7 I10:I12 I17:I19 I22:I47">
    <cfRule type="top10" dxfId="1551" priority="5" stopIfTrue="1" rank="1"/>
  </conditionalFormatting>
  <pageMargins left="0.39370078740157483" right="0.27559055118110237" top="0.78740157480314965" bottom="0.39370078740157483" header="0.59055118110236227" footer="0"/>
  <pageSetup paperSize="9" fitToHeight="0" orientation="portrait" r:id="rId1"/>
  <headerFooter>
    <oddHeader>&amp;R&amp;9Page &amp;P of &amp;N</oddHead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00"/>
    <pageSetUpPr fitToPage="1"/>
  </sheetPr>
  <dimension ref="A1:V62"/>
  <sheetViews>
    <sheetView showGridLines="0" showRowColHeaders="0" zoomScaleNormal="100" workbookViewId="0">
      <selection activeCell="S1" sqref="S1"/>
    </sheetView>
  </sheetViews>
  <sheetFormatPr defaultRowHeight="12.75" x14ac:dyDescent="0.2"/>
  <cols>
    <col min="1" max="1" width="3.28515625" customWidth="1"/>
    <col min="2" max="2" width="3.28515625" hidden="1" customWidth="1"/>
    <col min="3" max="3" width="3.28515625" customWidth="1"/>
    <col min="4" max="4" width="3.28515625" hidden="1" customWidth="1"/>
    <col min="5" max="5" width="3.7109375" customWidth="1"/>
    <col min="6" max="6" width="23.5703125" customWidth="1"/>
    <col min="7" max="7" width="2.28515625" hidden="1" customWidth="1"/>
    <col min="8" max="8" width="1.85546875" hidden="1" customWidth="1"/>
    <col min="9" max="9" width="7.5703125" customWidth="1"/>
    <col min="10" max="10" width="21.140625" hidden="1" customWidth="1"/>
    <col min="11" max="11" width="26.5703125" hidden="1" customWidth="1"/>
    <col min="12" max="12" width="6.28515625" hidden="1" customWidth="1"/>
    <col min="13" max="13" width="4.7109375" hidden="1" customWidth="1"/>
    <col min="14" max="14" width="30.28515625" hidden="1" customWidth="1"/>
    <col min="15" max="15" width="8.5703125" hidden="1" customWidth="1"/>
    <col min="16" max="18" width="5.5703125" customWidth="1"/>
    <col min="19" max="21" width="3.28515625" customWidth="1"/>
  </cols>
  <sheetData>
    <row r="1" spans="1:22" x14ac:dyDescent="0.2">
      <c r="A1" s="412"/>
      <c r="B1" s="413"/>
      <c r="C1" s="60"/>
      <c r="D1" s="414"/>
      <c r="E1" s="516" t="s">
        <v>378</v>
      </c>
      <c r="F1" s="415"/>
      <c r="G1" s="416"/>
      <c r="H1" s="416"/>
      <c r="I1" s="415"/>
      <c r="J1" s="417"/>
      <c r="K1" s="418"/>
      <c r="L1" s="418"/>
      <c r="M1" s="418"/>
      <c r="N1" s="418"/>
      <c r="O1" s="418"/>
      <c r="P1" s="419"/>
      <c r="Q1" s="420"/>
      <c r="R1" s="422" t="s">
        <v>182</v>
      </c>
      <c r="S1" s="424"/>
      <c r="T1" s="425" t="s">
        <v>183</v>
      </c>
      <c r="U1" s="425"/>
    </row>
    <row r="2" spans="1:22" x14ac:dyDescent="0.2">
      <c r="A2" s="412"/>
      <c r="B2" s="412"/>
      <c r="C2" s="426"/>
      <c r="D2" s="426"/>
      <c r="E2" s="704" t="s">
        <v>379</v>
      </c>
      <c r="F2" s="427"/>
      <c r="G2" s="428"/>
      <c r="H2" s="428"/>
      <c r="I2" s="427"/>
      <c r="J2" s="427"/>
      <c r="K2" s="427"/>
      <c r="L2" s="427"/>
      <c r="M2" s="427"/>
      <c r="N2" s="427"/>
      <c r="O2" s="427"/>
      <c r="P2" s="427"/>
      <c r="Q2" s="427"/>
      <c r="R2" s="427"/>
      <c r="S2" s="412"/>
      <c r="T2" s="413" t="s">
        <v>184</v>
      </c>
      <c r="U2" s="413"/>
      <c r="V2" s="412"/>
    </row>
    <row r="3" spans="1:22" x14ac:dyDescent="0.2">
      <c r="A3" s="412"/>
      <c r="B3" s="412"/>
      <c r="C3" s="427"/>
      <c r="D3" s="427"/>
      <c r="E3" s="412"/>
      <c r="F3" s="427"/>
      <c r="G3" s="429"/>
      <c r="H3" s="429"/>
      <c r="I3" s="427"/>
      <c r="J3" s="427"/>
      <c r="K3" s="427"/>
      <c r="L3" s="427"/>
      <c r="M3" s="427"/>
      <c r="N3" s="427"/>
      <c r="O3" s="427"/>
      <c r="P3" s="427"/>
      <c r="Q3" s="427"/>
      <c r="R3" s="427"/>
      <c r="S3" s="412"/>
      <c r="T3" s="430" t="s">
        <v>185</v>
      </c>
      <c r="U3" s="430"/>
      <c r="V3" s="412"/>
    </row>
    <row r="4" spans="1:22" ht="30.75" customHeight="1" x14ac:dyDescent="0.2">
      <c r="A4" s="431"/>
      <c r="B4" s="431"/>
      <c r="C4" s="431"/>
      <c r="D4" s="431"/>
      <c r="E4" s="432"/>
      <c r="F4" s="432"/>
      <c r="G4" s="433"/>
      <c r="H4" s="433"/>
      <c r="I4" s="443"/>
      <c r="J4" s="443"/>
      <c r="K4" s="443"/>
      <c r="L4" s="443"/>
      <c r="M4" s="443"/>
      <c r="N4" s="443"/>
      <c r="O4" s="443"/>
      <c r="P4" s="705" t="str">
        <f>MID(Kalend!$A6,4,5)</f>
        <v>05.05</v>
      </c>
      <c r="Q4" s="705" t="str">
        <f>MID(Kalend!$A10,4,5)</f>
        <v>16.05</v>
      </c>
      <c r="R4" s="705" t="str">
        <f>MID(Kalend!$A19,4,5)</f>
        <v>13.06</v>
      </c>
      <c r="S4" s="1110" t="s">
        <v>197</v>
      </c>
      <c r="T4" s="1111" t="s">
        <v>198</v>
      </c>
      <c r="U4" s="1112" t="s">
        <v>199</v>
      </c>
      <c r="V4" s="412"/>
    </row>
    <row r="5" spans="1:22" x14ac:dyDescent="0.2">
      <c r="A5" s="445"/>
      <c r="B5" s="446"/>
      <c r="C5" s="447"/>
      <c r="D5" s="447"/>
      <c r="E5" s="448" t="s">
        <v>200</v>
      </c>
      <c r="F5" s="432"/>
      <c r="G5" s="433"/>
      <c r="H5" s="433"/>
      <c r="I5" s="449" t="s">
        <v>201</v>
      </c>
      <c r="J5" s="450"/>
      <c r="K5" s="450"/>
      <c r="L5" s="450"/>
      <c r="M5" s="450"/>
      <c r="N5" s="450"/>
      <c r="O5" s="450"/>
      <c r="P5" s="706" t="s">
        <v>202</v>
      </c>
      <c r="Q5" s="706" t="s">
        <v>203</v>
      </c>
      <c r="R5" s="706" t="s">
        <v>204</v>
      </c>
      <c r="S5" s="1110"/>
      <c r="T5" s="1111"/>
      <c r="U5" s="1112"/>
      <c r="V5" s="412"/>
    </row>
    <row r="6" spans="1:22" x14ac:dyDescent="0.2">
      <c r="A6" s="452" t="s">
        <v>205</v>
      </c>
      <c r="B6" s="453" t="s">
        <v>205</v>
      </c>
      <c r="C6" s="454" t="s">
        <v>206</v>
      </c>
      <c r="D6" s="455" t="s">
        <v>206</v>
      </c>
      <c r="E6" s="456" t="s">
        <v>207</v>
      </c>
      <c r="F6" s="457" t="s">
        <v>208</v>
      </c>
      <c r="G6" s="453" t="s">
        <v>205</v>
      </c>
      <c r="H6" s="458" t="s">
        <v>206</v>
      </c>
      <c r="I6" s="459" t="s">
        <v>209</v>
      </c>
      <c r="J6" s="460" t="s">
        <v>210</v>
      </c>
      <c r="K6" s="461" t="s">
        <v>211</v>
      </c>
      <c r="L6" s="462" t="s">
        <v>212</v>
      </c>
      <c r="M6" s="462" t="s">
        <v>213</v>
      </c>
      <c r="N6" s="461" t="s">
        <v>214</v>
      </c>
      <c r="O6" s="462" t="s">
        <v>215</v>
      </c>
      <c r="P6" s="707" t="str">
        <f>HYPERLINK("#1!G1"," 1 ")</f>
        <v xml:space="preserve"> 1 </v>
      </c>
      <c r="Q6" s="707" t="str">
        <f>HYPERLINK("#2!G1"," 2 ")</f>
        <v xml:space="preserve"> 2 </v>
      </c>
      <c r="R6" s="707" t="str">
        <f>HYPERLINK("#5!G1"," 5 ")</f>
        <v xml:space="preserve"> 5 </v>
      </c>
      <c r="S6" s="464"/>
      <c r="T6" s="465"/>
      <c r="U6" s="424"/>
      <c r="V6" s="412"/>
    </row>
    <row r="7" spans="1:22" x14ac:dyDescent="0.2">
      <c r="A7" s="467" t="str">
        <f t="shared" ref="A7:A39" si="0">IFERROR(RANK(B7,B$7:B$39,1),"")</f>
        <v/>
      </c>
      <c r="B7" s="468" t="str">
        <f t="shared" ref="B7:B39" si="1">IF(G7="n",L7,"")</f>
        <v/>
      </c>
      <c r="C7" s="469" t="str">
        <f t="shared" ref="C7:C39" si="2">IFERROR(RANK(D7,D$7:D$39,1),"")</f>
        <v/>
      </c>
      <c r="D7" s="470" t="str">
        <f t="shared" ref="D7:D39" si="3">IF(H7="j",L7,"")</f>
        <v/>
      </c>
      <c r="E7" s="471">
        <f t="shared" ref="E7:E39" si="4">RANK(L7,L$7:L$39,1)</f>
        <v>1</v>
      </c>
      <c r="F7" s="487" t="s">
        <v>20</v>
      </c>
      <c r="G7" s="472"/>
      <c r="H7" s="473"/>
      <c r="I7" s="474">
        <f t="shared" ref="I7:I39" si="5">SUM(P7:R7)</f>
        <v>106</v>
      </c>
      <c r="J7" s="475" t="str">
        <f>INDEX(ETAPP!B$1:B$32,MATCH(COUNTIF(P7:R7,PIV!A$1),ETAPP!A$1:A$32,0))&amp;INDEX(ETAPP!B$1:B$32,MATCH(COUNTIF(P7:R7,PIV!A$2),ETAPP!A$1:A$32,0))&amp;INDEX(ETAPP!B$1:B$32,MATCH(COUNTIF(P7:R7,PIV!A$3),ETAPP!A$1:A$32,0))&amp;INDEX(ETAPP!B$1:B$32,MATCH(COUNTIF(P7:R7,PIV!A$4),ETAPP!A$1:A$32,0))&amp;INDEX(ETAPP!B$1:B$32,MATCH(COUNTIF(P7:R7,PIV!A$5),ETAPP!A$1:A$32,0))&amp;INDEX(ETAPP!B$1:B$32,MATCH(COUNTIF(P7:R7,PIV!A$6),ETAPP!A$1:A$32,0))&amp;INDEX(ETAPP!B$1:B$32,MATCH(COUNTIF(P7:R7,PIV!A$7),ETAPP!A$1:A$32,0))&amp;INDEX(ETAPP!B$1:B$32,MATCH(COUNTIF(P7:R7,PIV!A$8),ETAPP!A$1:A$32,0))&amp;INDEX(ETAPP!B$1:B$32,MATCH(COUNTIF(P7:R7,PIV!A$9),ETAPP!A$1:A$32,0))&amp;INDEX(ETAPP!B$1:B$32,MATCH(COUNTIF(P7:R7,PIV!A$10),ETAPP!A$1:A$32,0))&amp;INDEX(ETAPP!B$1:B$32,MATCH(COUNTIF(P7:R7,PIV!A$11),ETAPP!A$1:A$32,0))&amp;INDEX(ETAPP!B$1:B$32,MATCH(COUNTIF(P7:R7,PIV!A$12),ETAPP!A$1:A$32,0))&amp;INDEX(ETAPP!B$1:B$32,MATCH(COUNTIF(P7:R7,PIV!A$13),ETAPP!A$1:A$32,0))&amp;INDEX(ETAPP!B$1:B$32,MATCH(COUNTIF(P7:R7,PIV!A$14),ETAPP!A$1:A$32,0))&amp;INDEX(ETAPP!B$1:B$32,MATCH(COUNTIF(P7:R7,PIV!A$15),ETAPP!A$1:A$32,0))&amp;INDEX(ETAPP!B$1:B$32,MATCH(COUNTIF(P7:R7,PIV!A$16),ETAPP!A$1:A$32,0))&amp;INDEX(ETAPP!B$1:B$32,MATCH(COUNTIF(P7:R7,PIV!A$17),ETAPP!A$1:A$32,0))&amp;INDEX(ETAPP!B$1:B$32,MATCH(COUNTIF(P7:R7,PIV!A$18),ETAPP!A$1:A$32,0))&amp;INDEX(ETAPP!B$1:B$32,MATCH(COUNTIF(P7:R7,PIV!A$19),ETAPP!A$1:A$32,0))</f>
        <v>B00A000000000000000</v>
      </c>
      <c r="K7" s="475" t="str">
        <f t="shared" ref="K7:K39" si="6">TEXT(I7,"000,0")&amp;"-"&amp;J7</f>
        <v>106,0-B00A000000000000000</v>
      </c>
      <c r="L7" s="476">
        <f t="shared" ref="L7:L39" si="7">COUNTIF(K$7:K$39,"&gt;="&amp;K7)</f>
        <v>1</v>
      </c>
      <c r="M7" s="476">
        <f t="shared" ref="M7:M39" si="8">COUNTIF(F$7:F$39,"&gt;="&amp;F7)</f>
        <v>26</v>
      </c>
      <c r="N7" s="475" t="str">
        <f t="shared" ref="N7:N39" si="9">TEXT(I7,"000,0")&amp;"-"&amp;J7&amp;"-"&amp;TEXT(M7,"000")</f>
        <v>106,0-B00A000000000000000-026</v>
      </c>
      <c r="O7" s="477">
        <f t="shared" ref="O7:O39" si="10">COUNTIF(N$7:N$39,"&lt;="&amp;N7)</f>
        <v>33</v>
      </c>
      <c r="P7" s="478">
        <f>IFERROR(INDEX('1'!C$300:C$400,MATCH("*"&amp;F7&amp;"*",'1'!B$300:B$400,0)),"  ")</f>
        <v>40</v>
      </c>
      <c r="Q7" s="479">
        <f>IFERROR(INDEX('2'!C$300:C$400,MATCH("*"&amp;F7&amp;"*",'2'!B$300:B$400,0)),"  ")</f>
        <v>26</v>
      </c>
      <c r="R7" s="479">
        <f>IFERROR(INDEX('5'!C$300:C$400,MATCH("*"&amp;F7&amp;"*",'5'!B$300:B$400,0)),"  ")</f>
        <v>40</v>
      </c>
      <c r="S7" s="480">
        <f t="shared" ref="S7:S39" si="11">COUNTIF(P7:R7,"&gt;=0")</f>
        <v>3</v>
      </c>
      <c r="T7" s="481">
        <f t="shared" ref="T7:T39" si="12">COUNTIF(P7:R7,"&gt;=30")</f>
        <v>2</v>
      </c>
      <c r="U7" s="481">
        <f t="shared" ref="U7:U39" si="13">COUNTIF(P7:R7,"=40")</f>
        <v>2</v>
      </c>
      <c r="V7" s="420"/>
    </row>
    <row r="8" spans="1:22" x14ac:dyDescent="0.2">
      <c r="A8" s="467" t="str">
        <f t="shared" si="0"/>
        <v/>
      </c>
      <c r="B8" s="468" t="str">
        <f t="shared" si="1"/>
        <v/>
      </c>
      <c r="C8" s="469" t="str">
        <f t="shared" si="2"/>
        <v/>
      </c>
      <c r="D8" s="470" t="str">
        <f t="shared" si="3"/>
        <v/>
      </c>
      <c r="E8" s="471">
        <f t="shared" si="4"/>
        <v>2</v>
      </c>
      <c r="F8" s="432" t="s">
        <v>221</v>
      </c>
      <c r="G8" s="472"/>
      <c r="H8" s="473"/>
      <c r="I8" s="474">
        <f t="shared" si="5"/>
        <v>94</v>
      </c>
      <c r="J8" s="475" t="str">
        <f>INDEX(ETAPP!B$1:B$32,MATCH(COUNTIF(P8:R8,PIV!A$1),ETAPP!A$1:A$32,0))&amp;INDEX(ETAPP!B$1:B$32,MATCH(COUNTIF(P8:R8,PIV!A$2),ETAPP!A$1:A$32,0))&amp;INDEX(ETAPP!B$1:B$32,MATCH(COUNTIF(P8:R8,PIV!A$3),ETAPP!A$1:A$32,0))&amp;INDEX(ETAPP!B$1:B$32,MATCH(COUNTIF(P8:R8,PIV!A$4),ETAPP!A$1:A$32,0))&amp;INDEX(ETAPP!B$1:B$32,MATCH(COUNTIF(P8:R8,PIV!A$5),ETAPP!A$1:A$32,0))&amp;INDEX(ETAPP!B$1:B$32,MATCH(COUNTIF(P8:R8,PIV!A$6),ETAPP!A$1:A$32,0))&amp;INDEX(ETAPP!B$1:B$32,MATCH(COUNTIF(P8:R8,PIV!A$7),ETAPP!A$1:A$32,0))&amp;INDEX(ETAPP!B$1:B$32,MATCH(COUNTIF(P8:R8,PIV!A$8),ETAPP!A$1:A$32,0))&amp;INDEX(ETAPP!B$1:B$32,MATCH(COUNTIF(P8:R8,PIV!A$9),ETAPP!A$1:A$32,0))&amp;INDEX(ETAPP!B$1:B$32,MATCH(COUNTIF(P8:R8,PIV!A$10),ETAPP!A$1:A$32,0))&amp;INDEX(ETAPP!B$1:B$32,MATCH(COUNTIF(P8:R8,PIV!A$11),ETAPP!A$1:A$32,0))&amp;INDEX(ETAPP!B$1:B$32,MATCH(COUNTIF(P8:R8,PIV!A$12),ETAPP!A$1:A$32,0))&amp;INDEX(ETAPP!B$1:B$32,MATCH(COUNTIF(P8:R8,PIV!A$13),ETAPP!A$1:A$32,0))&amp;INDEX(ETAPP!B$1:B$32,MATCH(COUNTIF(P8:R8,PIV!A$14),ETAPP!A$1:A$32,0))&amp;INDEX(ETAPP!B$1:B$32,MATCH(COUNTIF(P8:R8,PIV!A$15),ETAPP!A$1:A$32,0))&amp;INDEX(ETAPP!B$1:B$32,MATCH(COUNTIF(P8:R8,PIV!A$16),ETAPP!A$1:A$32,0))&amp;INDEX(ETAPP!B$1:B$32,MATCH(COUNTIF(P8:R8,PIV!A$17),ETAPP!A$1:A$32,0))&amp;INDEX(ETAPP!B$1:B$32,MATCH(COUNTIF(P8:R8,PIV!A$18),ETAPP!A$1:A$32,0))&amp;INDEX(ETAPP!B$1:B$32,MATCH(COUNTIF(P8:R8,PIV!A$19),ETAPP!A$1:A$32,0))</f>
        <v>0B0A000000000000000</v>
      </c>
      <c r="K8" s="475" t="str">
        <f t="shared" si="6"/>
        <v>094,0-0B0A000000000000000</v>
      </c>
      <c r="L8" s="476">
        <f t="shared" si="7"/>
        <v>2</v>
      </c>
      <c r="M8" s="476">
        <f t="shared" si="8"/>
        <v>24</v>
      </c>
      <c r="N8" s="475" t="str">
        <f t="shared" si="9"/>
        <v>094,0-0B0A000000000000000-024</v>
      </c>
      <c r="O8" s="477">
        <f t="shared" si="10"/>
        <v>32</v>
      </c>
      <c r="P8" s="478">
        <f>IFERROR(INDEX('1'!C$300:C$400,MATCH("*"&amp;F8&amp;"*",'1'!B$300:B$400,0)),"  ")</f>
        <v>34</v>
      </c>
      <c r="Q8" s="479">
        <f>IFERROR(INDEX('2'!C$300:C$400,MATCH("*"&amp;F8&amp;"*",'2'!B$300:B$400,0)),"  ")</f>
        <v>34</v>
      </c>
      <c r="R8" s="479">
        <f>IFERROR(INDEX('5'!C$300:C$400,MATCH("*"&amp;F8&amp;"*",'5'!B$300:B$400,0)),"  ")</f>
        <v>26</v>
      </c>
      <c r="S8" s="481">
        <f t="shared" si="11"/>
        <v>3</v>
      </c>
      <c r="T8" s="481">
        <f t="shared" si="12"/>
        <v>2</v>
      </c>
      <c r="U8" s="481">
        <f t="shared" si="13"/>
        <v>0</v>
      </c>
      <c r="V8" s="412"/>
    </row>
    <row r="9" spans="1:22" x14ac:dyDescent="0.2">
      <c r="A9" s="467" t="str">
        <f t="shared" si="0"/>
        <v/>
      </c>
      <c r="B9" s="468" t="str">
        <f t="shared" si="1"/>
        <v/>
      </c>
      <c r="C9" s="469" t="str">
        <f t="shared" si="2"/>
        <v/>
      </c>
      <c r="D9" s="470" t="str">
        <f t="shared" si="3"/>
        <v/>
      </c>
      <c r="E9" s="471">
        <f t="shared" si="4"/>
        <v>3</v>
      </c>
      <c r="F9" s="487" t="s">
        <v>230</v>
      </c>
      <c r="G9" s="472"/>
      <c r="H9" s="473"/>
      <c r="I9" s="474">
        <f t="shared" si="5"/>
        <v>90</v>
      </c>
      <c r="J9" s="475" t="str">
        <f>INDEX(ETAPP!B$1:B$32,MATCH(COUNTIF(P9:R9,PIV!A$1),ETAPP!A$1:A$32,0))&amp;INDEX(ETAPP!B$1:B$32,MATCH(COUNTIF(P9:R9,PIV!A$2),ETAPP!A$1:A$32,0))&amp;INDEX(ETAPP!B$1:B$32,MATCH(COUNTIF(P9:R9,PIV!A$3),ETAPP!A$1:A$32,0))&amp;INDEX(ETAPP!B$1:B$32,MATCH(COUNTIF(P9:R9,PIV!A$4),ETAPP!A$1:A$32,0))&amp;INDEX(ETAPP!B$1:B$32,MATCH(COUNTIF(P9:R9,PIV!A$5),ETAPP!A$1:A$32,0))&amp;INDEX(ETAPP!B$1:B$32,MATCH(COUNTIF(P9:R9,PIV!A$6),ETAPP!A$1:A$32,0))&amp;INDEX(ETAPP!B$1:B$32,MATCH(COUNTIF(P9:R9,PIV!A$7),ETAPP!A$1:A$32,0))&amp;INDEX(ETAPP!B$1:B$32,MATCH(COUNTIF(P9:R9,PIV!A$8),ETAPP!A$1:A$32,0))&amp;INDEX(ETAPP!B$1:B$32,MATCH(COUNTIF(P9:R9,PIV!A$9),ETAPP!A$1:A$32,0))&amp;INDEX(ETAPP!B$1:B$32,MATCH(COUNTIF(P9:R9,PIV!A$10),ETAPP!A$1:A$32,0))&amp;INDEX(ETAPP!B$1:B$32,MATCH(COUNTIF(P9:R9,PIV!A$11),ETAPP!A$1:A$32,0))&amp;INDEX(ETAPP!B$1:B$32,MATCH(COUNTIF(P9:R9,PIV!A$12),ETAPP!A$1:A$32,0))&amp;INDEX(ETAPP!B$1:B$32,MATCH(COUNTIF(P9:R9,PIV!A$13),ETAPP!A$1:A$32,0))&amp;INDEX(ETAPP!B$1:B$32,MATCH(COUNTIF(P9:R9,PIV!A$14),ETAPP!A$1:A$32,0))&amp;INDEX(ETAPP!B$1:B$32,MATCH(COUNTIF(P9:R9,PIV!A$15),ETAPP!A$1:A$32,0))&amp;INDEX(ETAPP!B$1:B$32,MATCH(COUNTIF(P9:R9,PIV!A$16),ETAPP!A$1:A$32,0))&amp;INDEX(ETAPP!B$1:B$32,MATCH(COUNTIF(P9:R9,PIV!A$17),ETAPP!A$1:A$32,0))&amp;INDEX(ETAPP!B$1:B$32,MATCH(COUNTIF(P9:R9,PIV!A$18),ETAPP!A$1:A$32,0))&amp;INDEX(ETAPP!B$1:B$32,MATCH(COUNTIF(P9:R9,PIV!A$19),ETAPP!A$1:A$32,0))</f>
        <v>00C0000000000000000</v>
      </c>
      <c r="K9" s="475" t="str">
        <f t="shared" si="6"/>
        <v>090,0-00C0000000000000000</v>
      </c>
      <c r="L9" s="476">
        <f t="shared" si="7"/>
        <v>3</v>
      </c>
      <c r="M9" s="476">
        <f t="shared" si="8"/>
        <v>33</v>
      </c>
      <c r="N9" s="475" t="str">
        <f t="shared" si="9"/>
        <v>090,0-00C0000000000000000-033</v>
      </c>
      <c r="O9" s="477">
        <f t="shared" si="10"/>
        <v>31</v>
      </c>
      <c r="P9" s="478">
        <f>IFERROR(INDEX('1'!C$300:C$400,MATCH("*"&amp;F9&amp;"*",'1'!B$300:B$400,0)),"  ")</f>
        <v>30</v>
      </c>
      <c r="Q9" s="479">
        <f>IFERROR(INDEX('2'!C$300:C$400,MATCH("*"&amp;F9&amp;"*",'2'!B$300:B$400,0)),"  ")</f>
        <v>30</v>
      </c>
      <c r="R9" s="479">
        <f>IFERROR(INDEX('5'!C$300:C$400,MATCH("*"&amp;F9&amp;"*",'5'!B$300:B$400,0)),"  ")</f>
        <v>30</v>
      </c>
      <c r="S9" s="481">
        <f t="shared" si="11"/>
        <v>3</v>
      </c>
      <c r="T9" s="481">
        <f t="shared" si="12"/>
        <v>3</v>
      </c>
      <c r="U9" s="481">
        <f t="shared" si="13"/>
        <v>0</v>
      </c>
      <c r="V9" s="412"/>
    </row>
    <row r="10" spans="1:22" x14ac:dyDescent="0.2">
      <c r="A10" s="467" t="str">
        <f t="shared" si="0"/>
        <v/>
      </c>
      <c r="B10" s="468" t="str">
        <f t="shared" si="1"/>
        <v/>
      </c>
      <c r="C10" s="469" t="str">
        <f t="shared" si="2"/>
        <v/>
      </c>
      <c r="D10" s="470" t="str">
        <f t="shared" si="3"/>
        <v/>
      </c>
      <c r="E10" s="471">
        <f t="shared" si="4"/>
        <v>4</v>
      </c>
      <c r="F10" s="484" t="s">
        <v>223</v>
      </c>
      <c r="G10" s="472"/>
      <c r="H10" s="473"/>
      <c r="I10" s="474">
        <f t="shared" si="5"/>
        <v>88</v>
      </c>
      <c r="J10" s="475" t="str">
        <f>INDEX(ETAPP!B$1:B$32,MATCH(COUNTIF(P10:R10,PIV!A$1),ETAPP!A$1:A$32,0))&amp;INDEX(ETAPP!B$1:B$32,MATCH(COUNTIF(P10:R10,PIV!A$2),ETAPP!A$1:A$32,0))&amp;INDEX(ETAPP!B$1:B$32,MATCH(COUNTIF(P10:R10,PIV!A$3),ETAPP!A$1:A$32,0))&amp;INDEX(ETAPP!B$1:B$32,MATCH(COUNTIF(P10:R10,PIV!A$4),ETAPP!A$1:A$32,0))&amp;INDEX(ETAPP!B$1:B$32,MATCH(COUNTIF(P10:R10,PIV!A$5),ETAPP!A$1:A$32,0))&amp;INDEX(ETAPP!B$1:B$32,MATCH(COUNTIF(P10:R10,PIV!A$6),ETAPP!A$1:A$32,0))&amp;INDEX(ETAPP!B$1:B$32,MATCH(COUNTIF(P10:R10,PIV!A$7),ETAPP!A$1:A$32,0))&amp;INDEX(ETAPP!B$1:B$32,MATCH(COUNTIF(P10:R10,PIV!A$8),ETAPP!A$1:A$32,0))&amp;INDEX(ETAPP!B$1:B$32,MATCH(COUNTIF(P10:R10,PIV!A$9),ETAPP!A$1:A$32,0))&amp;INDEX(ETAPP!B$1:B$32,MATCH(COUNTIF(P10:R10,PIV!A$10),ETAPP!A$1:A$32,0))&amp;INDEX(ETAPP!B$1:B$32,MATCH(COUNTIF(P10:R10,PIV!A$11),ETAPP!A$1:A$32,0))&amp;INDEX(ETAPP!B$1:B$32,MATCH(COUNTIF(P10:R10,PIV!A$12),ETAPP!A$1:A$32,0))&amp;INDEX(ETAPP!B$1:B$32,MATCH(COUNTIF(P10:R10,PIV!A$13),ETAPP!A$1:A$32,0))&amp;INDEX(ETAPP!B$1:B$32,MATCH(COUNTIF(P10:R10,PIV!A$14),ETAPP!A$1:A$32,0))&amp;INDEX(ETAPP!B$1:B$32,MATCH(COUNTIF(P10:R10,PIV!A$15),ETAPP!A$1:A$32,0))&amp;INDEX(ETAPP!B$1:B$32,MATCH(COUNTIF(P10:R10,PIV!A$16),ETAPP!A$1:A$32,0))&amp;INDEX(ETAPP!B$1:B$32,MATCH(COUNTIF(P10:R10,PIV!A$17),ETAPP!A$1:A$32,0))&amp;INDEX(ETAPP!B$1:B$32,MATCH(COUNTIF(P10:R10,PIV!A$18),ETAPP!A$1:A$32,0))&amp;INDEX(ETAPP!B$1:B$32,MATCH(COUNTIF(P10:R10,PIV!A$19),ETAPP!A$1:A$32,0))</f>
        <v>AA0000000A000000000</v>
      </c>
      <c r="K10" s="475" t="str">
        <f t="shared" si="6"/>
        <v>088,0-AA0000000A000000000</v>
      </c>
      <c r="L10" s="476">
        <f t="shared" si="7"/>
        <v>4</v>
      </c>
      <c r="M10" s="476">
        <f t="shared" si="8"/>
        <v>10</v>
      </c>
      <c r="N10" s="475" t="str">
        <f t="shared" si="9"/>
        <v>088,0-AA0000000A000000000-010</v>
      </c>
      <c r="O10" s="477">
        <f t="shared" si="10"/>
        <v>30</v>
      </c>
      <c r="P10" s="478">
        <f>IFERROR(INDEX('1'!C$300:C$400,MATCH("*"&amp;F10&amp;"*",'1'!B$300:B$400,0)),"  ")</f>
        <v>40</v>
      </c>
      <c r="Q10" s="479">
        <f>IFERROR(INDEX('2'!C$300:C$400,MATCH("*"&amp;F10&amp;"*",'2'!B$300:B$400,0)),"  ")</f>
        <v>14</v>
      </c>
      <c r="R10" s="479">
        <f>IFERROR(INDEX('5'!C$300:C$400,MATCH("*"&amp;F10&amp;"*",'5'!B$300:B$400,0)),"  ")</f>
        <v>34</v>
      </c>
      <c r="S10" s="481">
        <f t="shared" si="11"/>
        <v>3</v>
      </c>
      <c r="T10" s="481">
        <f t="shared" si="12"/>
        <v>2</v>
      </c>
      <c r="U10" s="481">
        <f t="shared" si="13"/>
        <v>1</v>
      </c>
      <c r="V10" s="412"/>
    </row>
    <row r="11" spans="1:22" x14ac:dyDescent="0.2">
      <c r="A11" s="467" t="str">
        <f t="shared" si="0"/>
        <v/>
      </c>
      <c r="B11" s="468" t="str">
        <f t="shared" si="1"/>
        <v/>
      </c>
      <c r="C11" s="469" t="str">
        <f t="shared" si="2"/>
        <v/>
      </c>
      <c r="D11" s="470" t="str">
        <f t="shared" si="3"/>
        <v/>
      </c>
      <c r="E11" s="471">
        <f t="shared" si="4"/>
        <v>5</v>
      </c>
      <c r="F11" s="487" t="s">
        <v>226</v>
      </c>
      <c r="G11" s="472"/>
      <c r="H11" s="473"/>
      <c r="I11" s="474">
        <f t="shared" si="5"/>
        <v>82</v>
      </c>
      <c r="J11" s="475" t="str">
        <f>INDEX(ETAPP!B$1:B$32,MATCH(COUNTIF(P11:R11,PIV!A$1),ETAPP!A$1:A$32,0))&amp;INDEX(ETAPP!B$1:B$32,MATCH(COUNTIF(P11:R11,PIV!A$2),ETAPP!A$1:A$32,0))&amp;INDEX(ETAPP!B$1:B$32,MATCH(COUNTIF(P11:R11,PIV!A$3),ETAPP!A$1:A$32,0))&amp;INDEX(ETAPP!B$1:B$32,MATCH(COUNTIF(P11:R11,PIV!A$4),ETAPP!A$1:A$32,0))&amp;INDEX(ETAPP!B$1:B$32,MATCH(COUNTIF(P11:R11,PIV!A$5),ETAPP!A$1:A$32,0))&amp;INDEX(ETAPP!B$1:B$32,MATCH(COUNTIF(P11:R11,PIV!A$6),ETAPP!A$1:A$32,0))&amp;INDEX(ETAPP!B$1:B$32,MATCH(COUNTIF(P11:R11,PIV!A$7),ETAPP!A$1:A$32,0))&amp;INDEX(ETAPP!B$1:B$32,MATCH(COUNTIF(P11:R11,PIV!A$8),ETAPP!A$1:A$32,0))&amp;INDEX(ETAPP!B$1:B$32,MATCH(COUNTIF(P11:R11,PIV!A$9),ETAPP!A$1:A$32,0))&amp;INDEX(ETAPP!B$1:B$32,MATCH(COUNTIF(P11:R11,PIV!A$10),ETAPP!A$1:A$32,0))&amp;INDEX(ETAPP!B$1:B$32,MATCH(COUNTIF(P11:R11,PIV!A$11),ETAPP!A$1:A$32,0))&amp;INDEX(ETAPP!B$1:B$32,MATCH(COUNTIF(P11:R11,PIV!A$12),ETAPP!A$1:A$32,0))&amp;INDEX(ETAPP!B$1:B$32,MATCH(COUNTIF(P11:R11,PIV!A$13),ETAPP!A$1:A$32,0))&amp;INDEX(ETAPP!B$1:B$32,MATCH(COUNTIF(P11:R11,PIV!A$14),ETAPP!A$1:A$32,0))&amp;INDEX(ETAPP!B$1:B$32,MATCH(COUNTIF(P11:R11,PIV!A$15),ETAPP!A$1:A$32,0))&amp;INDEX(ETAPP!B$1:B$32,MATCH(COUNTIF(P11:R11,PIV!A$16),ETAPP!A$1:A$32,0))&amp;INDEX(ETAPP!B$1:B$32,MATCH(COUNTIF(P11:R11,PIV!A$17),ETAPP!A$1:A$32,0))&amp;INDEX(ETAPP!B$1:B$32,MATCH(COUNTIF(P11:R11,PIV!A$18),ETAPP!A$1:A$32,0))&amp;INDEX(ETAPP!B$1:B$32,MATCH(COUNTIF(P11:R11,PIV!A$19),ETAPP!A$1:A$32,0))</f>
        <v>A000A00A00000000000</v>
      </c>
      <c r="K11" s="475" t="str">
        <f t="shared" si="6"/>
        <v>082,0-A000A00A00000000000</v>
      </c>
      <c r="L11" s="476">
        <f t="shared" si="7"/>
        <v>5</v>
      </c>
      <c r="M11" s="476">
        <f t="shared" si="8"/>
        <v>5</v>
      </c>
      <c r="N11" s="475" t="str">
        <f t="shared" si="9"/>
        <v>082,0-A000A00A00000000000-005</v>
      </c>
      <c r="O11" s="477">
        <f t="shared" si="10"/>
        <v>29</v>
      </c>
      <c r="P11" s="478">
        <f>IFERROR(INDEX('1'!C$300:C$400,MATCH("*"&amp;F11&amp;"*",'1'!B$300:B$400,0)),"  ")</f>
        <v>24</v>
      </c>
      <c r="Q11" s="479">
        <f>IFERROR(INDEX('2'!C$300:C$400,MATCH("*"&amp;F11&amp;"*",'2'!B$300:B$400,0)),"  ")</f>
        <v>40</v>
      </c>
      <c r="R11" s="479">
        <f>IFERROR(INDEX('5'!C$300:C$400,MATCH("*"&amp;F11&amp;"*",'5'!B$300:B$400,0)),"  ")</f>
        <v>18</v>
      </c>
      <c r="S11" s="481">
        <f t="shared" si="11"/>
        <v>3</v>
      </c>
      <c r="T11" s="481">
        <f t="shared" si="12"/>
        <v>1</v>
      </c>
      <c r="U11" s="481">
        <f t="shared" si="13"/>
        <v>1</v>
      </c>
      <c r="V11" s="412"/>
    </row>
    <row r="12" spans="1:22" x14ac:dyDescent="0.2">
      <c r="A12" s="467" t="str">
        <f t="shared" si="0"/>
        <v/>
      </c>
      <c r="B12" s="468" t="str">
        <f t="shared" si="1"/>
        <v/>
      </c>
      <c r="C12" s="469" t="str">
        <f t="shared" si="2"/>
        <v/>
      </c>
      <c r="D12" s="470" t="str">
        <f t="shared" si="3"/>
        <v/>
      </c>
      <c r="E12" s="471">
        <f t="shared" si="4"/>
        <v>6</v>
      </c>
      <c r="F12" s="485" t="s">
        <v>229</v>
      </c>
      <c r="G12" s="472"/>
      <c r="H12" s="473"/>
      <c r="I12" s="474">
        <f t="shared" si="5"/>
        <v>82</v>
      </c>
      <c r="J12" s="475" t="str">
        <f>INDEX(ETAPP!B$1:B$32,MATCH(COUNTIF(P12:R12,PIV!A$1),ETAPP!A$1:A$32,0))&amp;INDEX(ETAPP!B$1:B$32,MATCH(COUNTIF(P12:R12,PIV!A$2),ETAPP!A$1:A$32,0))&amp;INDEX(ETAPP!B$1:B$32,MATCH(COUNTIF(P12:R12,PIV!A$3),ETAPP!A$1:A$32,0))&amp;INDEX(ETAPP!B$1:B$32,MATCH(COUNTIF(P12:R12,PIV!A$4),ETAPP!A$1:A$32,0))&amp;INDEX(ETAPP!B$1:B$32,MATCH(COUNTIF(P12:R12,PIV!A$5),ETAPP!A$1:A$32,0))&amp;INDEX(ETAPP!B$1:B$32,MATCH(COUNTIF(P12:R12,PIV!A$6),ETAPP!A$1:A$32,0))&amp;INDEX(ETAPP!B$1:B$32,MATCH(COUNTIF(P12:R12,PIV!A$7),ETAPP!A$1:A$32,0))&amp;INDEX(ETAPP!B$1:B$32,MATCH(COUNTIF(P12:R12,PIV!A$8),ETAPP!A$1:A$32,0))&amp;INDEX(ETAPP!B$1:B$32,MATCH(COUNTIF(P12:R12,PIV!A$9),ETAPP!A$1:A$32,0))&amp;INDEX(ETAPP!B$1:B$32,MATCH(COUNTIF(P12:R12,PIV!A$10),ETAPP!A$1:A$32,0))&amp;INDEX(ETAPP!B$1:B$32,MATCH(COUNTIF(P12:R12,PIV!A$11),ETAPP!A$1:A$32,0))&amp;INDEX(ETAPP!B$1:B$32,MATCH(COUNTIF(P12:R12,PIV!A$12),ETAPP!A$1:A$32,0))&amp;INDEX(ETAPP!B$1:B$32,MATCH(COUNTIF(P12:R12,PIV!A$13),ETAPP!A$1:A$32,0))&amp;INDEX(ETAPP!B$1:B$32,MATCH(COUNTIF(P12:R12,PIV!A$14),ETAPP!A$1:A$32,0))&amp;INDEX(ETAPP!B$1:B$32,MATCH(COUNTIF(P12:R12,PIV!A$15),ETAPP!A$1:A$32,0))&amp;INDEX(ETAPP!B$1:B$32,MATCH(COUNTIF(P12:R12,PIV!A$16),ETAPP!A$1:A$32,0))&amp;INDEX(ETAPP!B$1:B$32,MATCH(COUNTIF(P12:R12,PIV!A$17),ETAPP!A$1:A$32,0))&amp;INDEX(ETAPP!B$1:B$32,MATCH(COUNTIF(P12:R12,PIV!A$18),ETAPP!A$1:A$32,0))&amp;INDEX(ETAPP!B$1:B$32,MATCH(COUNTIF(P12:R12,PIV!A$19),ETAPP!A$1:A$32,0))</f>
        <v>00B00A0000000000000</v>
      </c>
      <c r="K12" s="475" t="str">
        <f t="shared" si="6"/>
        <v>082,0-00B00A0000000000000</v>
      </c>
      <c r="L12" s="476">
        <f t="shared" si="7"/>
        <v>6</v>
      </c>
      <c r="M12" s="476">
        <f t="shared" si="8"/>
        <v>23</v>
      </c>
      <c r="N12" s="475" t="str">
        <f t="shared" si="9"/>
        <v>082,0-00B00A0000000000000-023</v>
      </c>
      <c r="O12" s="477">
        <f t="shared" si="10"/>
        <v>28</v>
      </c>
      <c r="P12" s="478">
        <f>IFERROR(INDEX('1'!C$300:C$400,MATCH("*"&amp;F12&amp;"*",'1'!B$300:B$400,0)),"  ")</f>
        <v>30</v>
      </c>
      <c r="Q12" s="479">
        <f>IFERROR(INDEX('2'!C$300:C$400,MATCH("*"&amp;F12&amp;"*",'2'!B$300:B$400,0)),"  ")</f>
        <v>30</v>
      </c>
      <c r="R12" s="479">
        <f>IFERROR(INDEX('5'!C$300:C$400,MATCH("*"&amp;F12&amp;"*",'5'!B$300:B$400,0)),"  ")</f>
        <v>22</v>
      </c>
      <c r="S12" s="481">
        <f t="shared" si="11"/>
        <v>3</v>
      </c>
      <c r="T12" s="481">
        <f t="shared" si="12"/>
        <v>2</v>
      </c>
      <c r="U12" s="481">
        <f t="shared" si="13"/>
        <v>0</v>
      </c>
      <c r="V12" s="412"/>
    </row>
    <row r="13" spans="1:22" x14ac:dyDescent="0.2">
      <c r="A13" s="467" t="str">
        <f t="shared" si="0"/>
        <v/>
      </c>
      <c r="B13" s="468" t="str">
        <f t="shared" si="1"/>
        <v/>
      </c>
      <c r="C13" s="469" t="str">
        <f t="shared" si="2"/>
        <v/>
      </c>
      <c r="D13" s="470" t="str">
        <f t="shared" si="3"/>
        <v/>
      </c>
      <c r="E13" s="471">
        <f t="shared" si="4"/>
        <v>7</v>
      </c>
      <c r="F13" s="432" t="s">
        <v>220</v>
      </c>
      <c r="G13" s="460"/>
      <c r="H13" s="483"/>
      <c r="I13" s="474">
        <f t="shared" si="5"/>
        <v>76</v>
      </c>
      <c r="J13" s="475" t="str">
        <f>INDEX(ETAPP!B$1:B$32,MATCH(COUNTIF(P13:R13,PIV!A$1),ETAPP!A$1:A$32,0))&amp;INDEX(ETAPP!B$1:B$32,MATCH(COUNTIF(P13:R13,PIV!A$2),ETAPP!A$1:A$32,0))&amp;INDEX(ETAPP!B$1:B$32,MATCH(COUNTIF(P13:R13,PIV!A$3),ETAPP!A$1:A$32,0))&amp;INDEX(ETAPP!B$1:B$32,MATCH(COUNTIF(P13:R13,PIV!A$4),ETAPP!A$1:A$32,0))&amp;INDEX(ETAPP!B$1:B$32,MATCH(COUNTIF(P13:R13,PIV!A$5),ETAPP!A$1:A$32,0))&amp;INDEX(ETAPP!B$1:B$32,MATCH(COUNTIF(P13:R13,PIV!A$6),ETAPP!A$1:A$32,0))&amp;INDEX(ETAPP!B$1:B$32,MATCH(COUNTIF(P13:R13,PIV!A$7),ETAPP!A$1:A$32,0))&amp;INDEX(ETAPP!B$1:B$32,MATCH(COUNTIF(P13:R13,PIV!A$8),ETAPP!A$1:A$32,0))&amp;INDEX(ETAPP!B$1:B$32,MATCH(COUNTIF(P13:R13,PIV!A$9),ETAPP!A$1:A$32,0))&amp;INDEX(ETAPP!B$1:B$32,MATCH(COUNTIF(P13:R13,PIV!A$10),ETAPP!A$1:A$32,0))&amp;INDEX(ETAPP!B$1:B$32,MATCH(COUNTIF(P13:R13,PIV!A$11),ETAPP!A$1:A$32,0))&amp;INDEX(ETAPP!B$1:B$32,MATCH(COUNTIF(P13:R13,PIV!A$12),ETAPP!A$1:A$32,0))&amp;INDEX(ETAPP!B$1:B$32,MATCH(COUNTIF(P13:R13,PIV!A$13),ETAPP!A$1:A$32,0))&amp;INDEX(ETAPP!B$1:B$32,MATCH(COUNTIF(P13:R13,PIV!A$14),ETAPP!A$1:A$32,0))&amp;INDEX(ETAPP!B$1:B$32,MATCH(COUNTIF(P13:R13,PIV!A$15),ETAPP!A$1:A$32,0))&amp;INDEX(ETAPP!B$1:B$32,MATCH(COUNTIF(P13:R13,PIV!A$16),ETAPP!A$1:A$32,0))&amp;INDEX(ETAPP!B$1:B$32,MATCH(COUNTIF(P13:R13,PIV!A$17),ETAPP!A$1:A$32,0))&amp;INDEX(ETAPP!B$1:B$32,MATCH(COUNTIF(P13:R13,PIV!A$18),ETAPP!A$1:A$32,0))&amp;INDEX(ETAPP!B$1:B$32,MATCH(COUNTIF(P13:R13,PIV!A$19),ETAPP!A$1:A$32,0))</f>
        <v>0B0000000000A000000</v>
      </c>
      <c r="K13" s="475" t="str">
        <f t="shared" si="6"/>
        <v>076,0-0B0000000000A000000</v>
      </c>
      <c r="L13" s="476">
        <f t="shared" si="7"/>
        <v>7</v>
      </c>
      <c r="M13" s="476">
        <f t="shared" si="8"/>
        <v>9</v>
      </c>
      <c r="N13" s="475" t="str">
        <f t="shared" si="9"/>
        <v>076,0-0B0000000000A000000-009</v>
      </c>
      <c r="O13" s="477">
        <f t="shared" si="10"/>
        <v>27</v>
      </c>
      <c r="P13" s="478">
        <f>IFERROR(INDEX('1'!C$300:C$400,MATCH("*"&amp;F13&amp;"*",'1'!B$300:B$400,0)),"  ")</f>
        <v>34</v>
      </c>
      <c r="Q13" s="479">
        <f>IFERROR(INDEX('2'!C$300:C$400,MATCH("*"&amp;F13&amp;"*",'2'!B$300:B$400,0)),"  ")</f>
        <v>34</v>
      </c>
      <c r="R13" s="479">
        <f>IFERROR(INDEX('5'!C$300:C$400,MATCH("*"&amp;F13&amp;"*",'5'!B$300:B$400,0)),"  ")</f>
        <v>8</v>
      </c>
      <c r="S13" s="481">
        <f t="shared" si="11"/>
        <v>3</v>
      </c>
      <c r="T13" s="481">
        <f t="shared" si="12"/>
        <v>2</v>
      </c>
      <c r="U13" s="481">
        <f t="shared" si="13"/>
        <v>0</v>
      </c>
      <c r="V13" s="412"/>
    </row>
    <row r="14" spans="1:22" x14ac:dyDescent="0.2">
      <c r="A14" s="467" t="str">
        <f t="shared" si="0"/>
        <v/>
      </c>
      <c r="B14" s="468" t="str">
        <f t="shared" si="1"/>
        <v/>
      </c>
      <c r="C14" s="469" t="str">
        <f t="shared" si="2"/>
        <v/>
      </c>
      <c r="D14" s="470" t="str">
        <f t="shared" si="3"/>
        <v/>
      </c>
      <c r="E14" s="471">
        <f t="shared" si="4"/>
        <v>8</v>
      </c>
      <c r="F14" s="432" t="s">
        <v>222</v>
      </c>
      <c r="G14" s="472"/>
      <c r="H14" s="473"/>
      <c r="I14" s="474">
        <f t="shared" si="5"/>
        <v>74</v>
      </c>
      <c r="J14" s="475" t="str">
        <f>INDEX(ETAPP!B$1:B$32,MATCH(COUNTIF(P14:R14,PIV!A$1),ETAPP!A$1:A$32,0))&amp;INDEX(ETAPP!B$1:B$32,MATCH(COUNTIF(P14:R14,PIV!A$2),ETAPP!A$1:A$32,0))&amp;INDEX(ETAPP!B$1:B$32,MATCH(COUNTIF(P14:R14,PIV!A$3),ETAPP!A$1:A$32,0))&amp;INDEX(ETAPP!B$1:B$32,MATCH(COUNTIF(P14:R14,PIV!A$4),ETAPP!A$1:A$32,0))&amp;INDEX(ETAPP!B$1:B$32,MATCH(COUNTIF(P14:R14,PIV!A$5),ETAPP!A$1:A$32,0))&amp;INDEX(ETAPP!B$1:B$32,MATCH(COUNTIF(P14:R14,PIV!A$6),ETAPP!A$1:A$32,0))&amp;INDEX(ETAPP!B$1:B$32,MATCH(COUNTIF(P14:R14,PIV!A$7),ETAPP!A$1:A$32,0))&amp;INDEX(ETAPP!B$1:B$32,MATCH(COUNTIF(P14:R14,PIV!A$8),ETAPP!A$1:A$32,0))&amp;INDEX(ETAPP!B$1:B$32,MATCH(COUNTIF(P14:R14,PIV!A$9),ETAPP!A$1:A$32,0))&amp;INDEX(ETAPP!B$1:B$32,MATCH(COUNTIF(P14:R14,PIV!A$10),ETAPP!A$1:A$32,0))&amp;INDEX(ETAPP!B$1:B$32,MATCH(COUNTIF(P14:R14,PIV!A$11),ETAPP!A$1:A$32,0))&amp;INDEX(ETAPP!B$1:B$32,MATCH(COUNTIF(P14:R14,PIV!A$12),ETAPP!A$1:A$32,0))&amp;INDEX(ETAPP!B$1:B$32,MATCH(COUNTIF(P14:R14,PIV!A$13),ETAPP!A$1:A$32,0))&amp;INDEX(ETAPP!B$1:B$32,MATCH(COUNTIF(P14:R14,PIV!A$14),ETAPP!A$1:A$32,0))&amp;INDEX(ETAPP!B$1:B$32,MATCH(COUNTIF(P14:R14,PIV!A$15),ETAPP!A$1:A$32,0))&amp;INDEX(ETAPP!B$1:B$32,MATCH(COUNTIF(P14:R14,PIV!A$16),ETAPP!A$1:A$32,0))&amp;INDEX(ETAPP!B$1:B$32,MATCH(COUNTIF(P14:R14,PIV!A$17),ETAPP!A$1:A$32,0))&amp;INDEX(ETAPP!B$1:B$32,MATCH(COUNTIF(P14:R14,PIV!A$18),ETAPP!A$1:A$32,0))&amp;INDEX(ETAPP!B$1:B$32,MATCH(COUNTIF(P14:R14,PIV!A$19),ETAPP!A$1:A$32,0))</f>
        <v>A000000AA0000000000</v>
      </c>
      <c r="K14" s="475" t="str">
        <f t="shared" si="6"/>
        <v>074,0-A000000AA0000000000</v>
      </c>
      <c r="L14" s="476">
        <f t="shared" si="7"/>
        <v>8</v>
      </c>
      <c r="M14" s="476">
        <f t="shared" si="8"/>
        <v>13</v>
      </c>
      <c r="N14" s="475" t="str">
        <f t="shared" si="9"/>
        <v>074,0-A000000AA0000000000-013</v>
      </c>
      <c r="O14" s="477">
        <f t="shared" si="10"/>
        <v>26</v>
      </c>
      <c r="P14" s="478">
        <f>IFERROR(INDEX('1'!C$300:C$400,MATCH("*"&amp;F14&amp;"*",'1'!B$300:B$400,0)),"  ")</f>
        <v>40</v>
      </c>
      <c r="Q14" s="479">
        <f>IFERROR(INDEX('2'!C$300:C$400,MATCH("*"&amp;F14&amp;"*",'2'!B$300:B$400,0)),"  ")</f>
        <v>18</v>
      </c>
      <c r="R14" s="479">
        <f>IFERROR(INDEX('5'!C$300:C$400,MATCH("*"&amp;F14&amp;"*",'5'!B$300:B$400,0)),"  ")</f>
        <v>16</v>
      </c>
      <c r="S14" s="481">
        <f t="shared" si="11"/>
        <v>3</v>
      </c>
      <c r="T14" s="481">
        <f t="shared" si="12"/>
        <v>1</v>
      </c>
      <c r="U14" s="481">
        <f t="shared" si="13"/>
        <v>1</v>
      </c>
      <c r="V14" s="412"/>
    </row>
    <row r="15" spans="1:22" x14ac:dyDescent="0.2">
      <c r="A15" s="467" t="str">
        <f t="shared" si="0"/>
        <v/>
      </c>
      <c r="B15" s="468" t="str">
        <f t="shared" si="1"/>
        <v/>
      </c>
      <c r="C15" s="469" t="str">
        <f t="shared" si="2"/>
        <v/>
      </c>
      <c r="D15" s="470" t="str">
        <f t="shared" si="3"/>
        <v/>
      </c>
      <c r="E15" s="471">
        <f t="shared" si="4"/>
        <v>9</v>
      </c>
      <c r="F15" s="485" t="s">
        <v>224</v>
      </c>
      <c r="G15" s="472"/>
      <c r="H15" s="473"/>
      <c r="I15" s="474">
        <f t="shared" si="5"/>
        <v>64</v>
      </c>
      <c r="J15" s="475" t="str">
        <f>INDEX(ETAPP!B$1:B$32,MATCH(COUNTIF(P15:R15,PIV!A$1),ETAPP!A$1:A$32,0))&amp;INDEX(ETAPP!B$1:B$32,MATCH(COUNTIF(P15:R15,PIV!A$2),ETAPP!A$1:A$32,0))&amp;INDEX(ETAPP!B$1:B$32,MATCH(COUNTIF(P15:R15,PIV!A$3),ETAPP!A$1:A$32,0))&amp;INDEX(ETAPP!B$1:B$32,MATCH(COUNTIF(P15:R15,PIV!A$4),ETAPP!A$1:A$32,0))&amp;INDEX(ETAPP!B$1:B$32,MATCH(COUNTIF(P15:R15,PIV!A$5),ETAPP!A$1:A$32,0))&amp;INDEX(ETAPP!B$1:B$32,MATCH(COUNTIF(P15:R15,PIV!A$6),ETAPP!A$1:A$32,0))&amp;INDEX(ETAPP!B$1:B$32,MATCH(COUNTIF(P15:R15,PIV!A$7),ETAPP!A$1:A$32,0))&amp;INDEX(ETAPP!B$1:B$32,MATCH(COUNTIF(P15:R15,PIV!A$8),ETAPP!A$1:A$32,0))&amp;INDEX(ETAPP!B$1:B$32,MATCH(COUNTIF(P15:R15,PIV!A$9),ETAPP!A$1:A$32,0))&amp;INDEX(ETAPP!B$1:B$32,MATCH(COUNTIF(P15:R15,PIV!A$10),ETAPP!A$1:A$32,0))&amp;INDEX(ETAPP!B$1:B$32,MATCH(COUNTIF(P15:R15,PIV!A$11),ETAPP!A$1:A$32,0))&amp;INDEX(ETAPP!B$1:B$32,MATCH(COUNTIF(P15:R15,PIV!A$12),ETAPP!A$1:A$32,0))&amp;INDEX(ETAPP!B$1:B$32,MATCH(COUNTIF(P15:R15,PIV!A$13),ETAPP!A$1:A$32,0))&amp;INDEX(ETAPP!B$1:B$32,MATCH(COUNTIF(P15:R15,PIV!A$14),ETAPP!A$1:A$32,0))&amp;INDEX(ETAPP!B$1:B$32,MATCH(COUNTIF(P15:R15,PIV!A$15),ETAPP!A$1:A$32,0))&amp;INDEX(ETAPP!B$1:B$32,MATCH(COUNTIF(P15:R15,PIV!A$16),ETAPP!A$1:A$32,0))&amp;INDEX(ETAPP!B$1:B$32,MATCH(COUNTIF(P15:R15,PIV!A$17),ETAPP!A$1:A$32,0))&amp;INDEX(ETAPP!B$1:B$32,MATCH(COUNTIF(P15:R15,PIV!A$18),ETAPP!A$1:A$32,0))&amp;INDEX(ETAPP!B$1:B$32,MATCH(COUNTIF(P15:R15,PIV!A$19),ETAPP!A$1:A$32,0))</f>
        <v>A000A0000000000000A</v>
      </c>
      <c r="K15" s="475" t="str">
        <f t="shared" si="6"/>
        <v>064,0-A000A0000000000000A</v>
      </c>
      <c r="L15" s="476">
        <f t="shared" si="7"/>
        <v>9</v>
      </c>
      <c r="M15" s="476">
        <f t="shared" si="8"/>
        <v>28</v>
      </c>
      <c r="N15" s="475" t="str">
        <f t="shared" si="9"/>
        <v>064,0-A000A0000000000000A-028</v>
      </c>
      <c r="O15" s="477">
        <f t="shared" si="10"/>
        <v>25</v>
      </c>
      <c r="P15" s="478" t="str">
        <f>IFERROR(INDEX('1'!C$300:C$400,MATCH("*"&amp;F15&amp;"*",'1'!B$300:B$400,0)),"  ")</f>
        <v xml:space="preserve">  </v>
      </c>
      <c r="Q15" s="479">
        <f>IFERROR(INDEX('2'!C$300:C$400,MATCH("*"&amp;F15&amp;"*",'2'!B$300:B$400,0)),"  ")</f>
        <v>40</v>
      </c>
      <c r="R15" s="479">
        <f>IFERROR(INDEX('5'!C$300:C$400,MATCH("*"&amp;F15&amp;"*",'5'!B$300:B$400,0)),"  ")</f>
        <v>24</v>
      </c>
      <c r="S15" s="481">
        <f t="shared" si="11"/>
        <v>2</v>
      </c>
      <c r="T15" s="481">
        <f t="shared" si="12"/>
        <v>1</v>
      </c>
      <c r="U15" s="481">
        <f t="shared" si="13"/>
        <v>1</v>
      </c>
      <c r="V15" s="412"/>
    </row>
    <row r="16" spans="1:22" x14ac:dyDescent="0.2">
      <c r="A16" s="467" t="str">
        <f t="shared" si="0"/>
        <v/>
      </c>
      <c r="B16" s="468" t="str">
        <f t="shared" si="1"/>
        <v/>
      </c>
      <c r="C16" s="469" t="str">
        <f t="shared" si="2"/>
        <v/>
      </c>
      <c r="D16" s="470" t="str">
        <f t="shared" si="3"/>
        <v/>
      </c>
      <c r="E16" s="471">
        <f t="shared" si="4"/>
        <v>10</v>
      </c>
      <c r="F16" s="432" t="s">
        <v>228</v>
      </c>
      <c r="G16" s="472"/>
      <c r="H16" s="473"/>
      <c r="I16" s="474">
        <f t="shared" si="5"/>
        <v>52</v>
      </c>
      <c r="J16" s="475" t="str">
        <f>INDEX(ETAPP!B$1:B$32,MATCH(COUNTIF(P16:R16,PIV!A$1),ETAPP!A$1:A$32,0))&amp;INDEX(ETAPP!B$1:B$32,MATCH(COUNTIF(P16:R16,PIV!A$2),ETAPP!A$1:A$32,0))&amp;INDEX(ETAPP!B$1:B$32,MATCH(COUNTIF(P16:R16,PIV!A$3),ETAPP!A$1:A$32,0))&amp;INDEX(ETAPP!B$1:B$32,MATCH(COUNTIF(P16:R16,PIV!A$4),ETAPP!A$1:A$32,0))&amp;INDEX(ETAPP!B$1:B$32,MATCH(COUNTIF(P16:R16,PIV!A$5),ETAPP!A$1:A$32,0))&amp;INDEX(ETAPP!B$1:B$32,MATCH(COUNTIF(P16:R16,PIV!A$6),ETAPP!A$1:A$32,0))&amp;INDEX(ETAPP!B$1:B$32,MATCH(COUNTIF(P16:R16,PIV!A$7),ETAPP!A$1:A$32,0))&amp;INDEX(ETAPP!B$1:B$32,MATCH(COUNTIF(P16:R16,PIV!A$8),ETAPP!A$1:A$32,0))&amp;INDEX(ETAPP!B$1:B$32,MATCH(COUNTIF(P16:R16,PIV!A$9),ETAPP!A$1:A$32,0))&amp;INDEX(ETAPP!B$1:B$32,MATCH(COUNTIF(P16:R16,PIV!A$10),ETAPP!A$1:A$32,0))&amp;INDEX(ETAPP!B$1:B$32,MATCH(COUNTIF(P16:R16,PIV!A$11),ETAPP!A$1:A$32,0))&amp;INDEX(ETAPP!B$1:B$32,MATCH(COUNTIF(P16:R16,PIV!A$12),ETAPP!A$1:A$32,0))&amp;INDEX(ETAPP!B$1:B$32,MATCH(COUNTIF(P16:R16,PIV!A$13),ETAPP!A$1:A$32,0))&amp;INDEX(ETAPP!B$1:B$32,MATCH(COUNTIF(P16:R16,PIV!A$14),ETAPP!A$1:A$32,0))&amp;INDEX(ETAPP!B$1:B$32,MATCH(COUNTIF(P16:R16,PIV!A$15),ETAPP!A$1:A$32,0))&amp;INDEX(ETAPP!B$1:B$32,MATCH(COUNTIF(P16:R16,PIV!A$16),ETAPP!A$1:A$32,0))&amp;INDEX(ETAPP!B$1:B$32,MATCH(COUNTIF(P16:R16,PIV!A$17),ETAPP!A$1:A$32,0))&amp;INDEX(ETAPP!B$1:B$32,MATCH(COUNTIF(P16:R16,PIV!A$18),ETAPP!A$1:A$32,0))&amp;INDEX(ETAPP!B$1:B$32,MATCH(COUNTIF(P16:R16,PIV!A$19),ETAPP!A$1:A$32,0))</f>
        <v>0A00000A0000000000A</v>
      </c>
      <c r="K16" s="475" t="str">
        <f t="shared" si="6"/>
        <v>052,0-0A00000A0000000000A</v>
      </c>
      <c r="L16" s="476">
        <f t="shared" si="7"/>
        <v>10</v>
      </c>
      <c r="M16" s="476">
        <f t="shared" si="8"/>
        <v>15</v>
      </c>
      <c r="N16" s="475" t="str">
        <f t="shared" si="9"/>
        <v>052,0-0A00000A0000000000A-015</v>
      </c>
      <c r="O16" s="477">
        <f t="shared" si="10"/>
        <v>24</v>
      </c>
      <c r="P16" s="478">
        <f>IFERROR(INDEX('1'!C$300:C$400,MATCH("*"&amp;F16&amp;"*",'1'!B$300:B$400,0)),"  ")</f>
        <v>34</v>
      </c>
      <c r="Q16" s="479">
        <f>IFERROR(INDEX('2'!C$300:C$400,MATCH("*"&amp;F16&amp;"*",'2'!B$300:B$400,0)),"  ")</f>
        <v>18</v>
      </c>
      <c r="R16" s="479" t="str">
        <f>IFERROR(INDEX('5'!C$300:C$400,MATCH("*"&amp;F16&amp;"*",'5'!B$300:B$400,0)),"  ")</f>
        <v xml:space="preserve">  </v>
      </c>
      <c r="S16" s="481">
        <f t="shared" si="11"/>
        <v>2</v>
      </c>
      <c r="T16" s="481">
        <f t="shared" si="12"/>
        <v>1</v>
      </c>
      <c r="U16" s="481">
        <f t="shared" si="13"/>
        <v>0</v>
      </c>
      <c r="V16" s="412"/>
    </row>
    <row r="17" spans="1:22" x14ac:dyDescent="0.2">
      <c r="A17" s="467" t="str">
        <f t="shared" si="0"/>
        <v/>
      </c>
      <c r="B17" s="468" t="str">
        <f t="shared" si="1"/>
        <v/>
      </c>
      <c r="C17" s="469" t="str">
        <f t="shared" si="2"/>
        <v/>
      </c>
      <c r="D17" s="470" t="str">
        <f t="shared" si="3"/>
        <v/>
      </c>
      <c r="E17" s="471">
        <f t="shared" si="4"/>
        <v>11</v>
      </c>
      <c r="F17" s="484" t="s">
        <v>235</v>
      </c>
      <c r="G17" s="472"/>
      <c r="H17" s="473"/>
      <c r="I17" s="474">
        <f t="shared" si="5"/>
        <v>50</v>
      </c>
      <c r="J17" s="475" t="str">
        <f>INDEX(ETAPP!B$1:B$32,MATCH(COUNTIF(P17:R17,PIV!A$1),ETAPP!A$1:A$32,0))&amp;INDEX(ETAPP!B$1:B$32,MATCH(COUNTIF(P17:R17,PIV!A$2),ETAPP!A$1:A$32,0))&amp;INDEX(ETAPP!B$1:B$32,MATCH(COUNTIF(P17:R17,PIV!A$3),ETAPP!A$1:A$32,0))&amp;INDEX(ETAPP!B$1:B$32,MATCH(COUNTIF(P17:R17,PIV!A$4),ETAPP!A$1:A$32,0))&amp;INDEX(ETAPP!B$1:B$32,MATCH(COUNTIF(P17:R17,PIV!A$5),ETAPP!A$1:A$32,0))&amp;INDEX(ETAPP!B$1:B$32,MATCH(COUNTIF(P17:R17,PIV!A$6),ETAPP!A$1:A$32,0))&amp;INDEX(ETAPP!B$1:B$32,MATCH(COUNTIF(P17:R17,PIV!A$7),ETAPP!A$1:A$32,0))&amp;INDEX(ETAPP!B$1:B$32,MATCH(COUNTIF(P17:R17,PIV!A$8),ETAPP!A$1:A$32,0))&amp;INDEX(ETAPP!B$1:B$32,MATCH(COUNTIF(P17:R17,PIV!A$9),ETAPP!A$1:A$32,0))&amp;INDEX(ETAPP!B$1:B$32,MATCH(COUNTIF(P17:R17,PIV!A$10),ETAPP!A$1:A$32,0))&amp;INDEX(ETAPP!B$1:B$32,MATCH(COUNTIF(P17:R17,PIV!A$11),ETAPP!A$1:A$32,0))&amp;INDEX(ETAPP!B$1:B$32,MATCH(COUNTIF(P17:R17,PIV!A$12),ETAPP!A$1:A$32,0))&amp;INDEX(ETAPP!B$1:B$32,MATCH(COUNTIF(P17:R17,PIV!A$13),ETAPP!A$1:A$32,0))&amp;INDEX(ETAPP!B$1:B$32,MATCH(COUNTIF(P17:R17,PIV!A$14),ETAPP!A$1:A$32,0))&amp;INDEX(ETAPP!B$1:B$32,MATCH(COUNTIF(P17:R17,PIV!A$15),ETAPP!A$1:A$32,0))&amp;INDEX(ETAPP!B$1:B$32,MATCH(COUNTIF(P17:R17,PIV!A$16),ETAPP!A$1:A$32,0))&amp;INDEX(ETAPP!B$1:B$32,MATCH(COUNTIF(P17:R17,PIV!A$17),ETAPP!A$1:A$32,0))&amp;INDEX(ETAPP!B$1:B$32,MATCH(COUNTIF(P17:R17,PIV!A$18),ETAPP!A$1:A$32,0))&amp;INDEX(ETAPP!B$1:B$32,MATCH(COUNTIF(P17:R17,PIV!A$19),ETAPP!A$1:A$32,0))</f>
        <v>000A0A000000000A000</v>
      </c>
      <c r="K17" s="475" t="str">
        <f t="shared" si="6"/>
        <v>050,0-000A0A000000000A000</v>
      </c>
      <c r="L17" s="476">
        <f t="shared" si="7"/>
        <v>11</v>
      </c>
      <c r="M17" s="476">
        <f t="shared" si="8"/>
        <v>6</v>
      </c>
      <c r="N17" s="475" t="str">
        <f t="shared" si="9"/>
        <v>050,0-000A0A000000000A000-006</v>
      </c>
      <c r="O17" s="477">
        <f t="shared" si="10"/>
        <v>23</v>
      </c>
      <c r="P17" s="478">
        <f>IFERROR(INDEX('1'!C$300:C$400,MATCH("*"&amp;F17&amp;"*",'1'!B$300:B$400,0)),"  ")</f>
        <v>26</v>
      </c>
      <c r="Q17" s="479">
        <f>IFERROR(INDEX('2'!C$300:C$400,MATCH("*"&amp;F17&amp;"*",'2'!B$300:B$400,0)),"  ")</f>
        <v>22</v>
      </c>
      <c r="R17" s="479">
        <f>IFERROR(INDEX('5'!C$300:C$400,MATCH("*"&amp;F17&amp;"*",'5'!B$300:B$400,0)),"  ")</f>
        <v>2</v>
      </c>
      <c r="S17" s="481">
        <f t="shared" si="11"/>
        <v>3</v>
      </c>
      <c r="T17" s="481">
        <f t="shared" si="12"/>
        <v>0</v>
      </c>
      <c r="U17" s="481">
        <f t="shared" si="13"/>
        <v>0</v>
      </c>
      <c r="V17" s="412"/>
    </row>
    <row r="18" spans="1:22" x14ac:dyDescent="0.2">
      <c r="A18" s="467" t="str">
        <f t="shared" si="0"/>
        <v/>
      </c>
      <c r="B18" s="468" t="str">
        <f t="shared" si="1"/>
        <v/>
      </c>
      <c r="C18" s="469" t="str">
        <f t="shared" si="2"/>
        <v/>
      </c>
      <c r="D18" s="470" t="str">
        <f t="shared" si="3"/>
        <v/>
      </c>
      <c r="E18" s="471">
        <f t="shared" si="4"/>
        <v>12</v>
      </c>
      <c r="F18" s="432" t="s">
        <v>237</v>
      </c>
      <c r="G18" s="472"/>
      <c r="H18" s="473"/>
      <c r="I18" s="474">
        <f t="shared" si="5"/>
        <v>48</v>
      </c>
      <c r="J18" s="475" t="str">
        <f>INDEX(ETAPP!B$1:B$32,MATCH(COUNTIF(P18:R18,PIV!A$1),ETAPP!A$1:A$32,0))&amp;INDEX(ETAPP!B$1:B$32,MATCH(COUNTIF(P18:R18,PIV!A$2),ETAPP!A$1:A$32,0))&amp;INDEX(ETAPP!B$1:B$32,MATCH(COUNTIF(P18:R18,PIV!A$3),ETAPP!A$1:A$32,0))&amp;INDEX(ETAPP!B$1:B$32,MATCH(COUNTIF(P18:R18,PIV!A$4),ETAPP!A$1:A$32,0))&amp;INDEX(ETAPP!B$1:B$32,MATCH(COUNTIF(P18:R18,PIV!A$5),ETAPP!A$1:A$32,0))&amp;INDEX(ETAPP!B$1:B$32,MATCH(COUNTIF(P18:R18,PIV!A$6),ETAPP!A$1:A$32,0))&amp;INDEX(ETAPP!B$1:B$32,MATCH(COUNTIF(P18:R18,PIV!A$7),ETAPP!A$1:A$32,0))&amp;INDEX(ETAPP!B$1:B$32,MATCH(COUNTIF(P18:R18,PIV!A$8),ETAPP!A$1:A$32,0))&amp;INDEX(ETAPP!B$1:B$32,MATCH(COUNTIF(P18:R18,PIV!A$9),ETAPP!A$1:A$32,0))&amp;INDEX(ETAPP!B$1:B$32,MATCH(COUNTIF(P18:R18,PIV!A$10),ETAPP!A$1:A$32,0))&amp;INDEX(ETAPP!B$1:B$32,MATCH(COUNTIF(P18:R18,PIV!A$11),ETAPP!A$1:A$32,0))&amp;INDEX(ETAPP!B$1:B$32,MATCH(COUNTIF(P18:R18,PIV!A$12),ETAPP!A$1:A$32,0))&amp;INDEX(ETAPP!B$1:B$32,MATCH(COUNTIF(P18:R18,PIV!A$13),ETAPP!A$1:A$32,0))&amp;INDEX(ETAPP!B$1:B$32,MATCH(COUNTIF(P18:R18,PIV!A$14),ETAPP!A$1:A$32,0))&amp;INDEX(ETAPP!B$1:B$32,MATCH(COUNTIF(P18:R18,PIV!A$15),ETAPP!A$1:A$32,0))&amp;INDEX(ETAPP!B$1:B$32,MATCH(COUNTIF(P18:R18,PIV!A$16),ETAPP!A$1:A$32,0))&amp;INDEX(ETAPP!B$1:B$32,MATCH(COUNTIF(P18:R18,PIV!A$17),ETAPP!A$1:A$32,0))&amp;INDEX(ETAPP!B$1:B$32,MATCH(COUNTIF(P18:R18,PIV!A$18),ETAPP!A$1:A$32,0))&amp;INDEX(ETAPP!B$1:B$32,MATCH(COUNTIF(P18:R18,PIV!A$19),ETAPP!A$1:A$32,0))</f>
        <v>000A0A000000000000A</v>
      </c>
      <c r="K18" s="475" t="str">
        <f t="shared" si="6"/>
        <v>048,0-000A0A000000000000A</v>
      </c>
      <c r="L18" s="476">
        <f t="shared" si="7"/>
        <v>12</v>
      </c>
      <c r="M18" s="476">
        <f t="shared" si="8"/>
        <v>1</v>
      </c>
      <c r="N18" s="475" t="str">
        <f t="shared" si="9"/>
        <v>048,0-000A0A000000000000A-001</v>
      </c>
      <c r="O18" s="477">
        <f t="shared" si="10"/>
        <v>22</v>
      </c>
      <c r="P18" s="478">
        <f>IFERROR(INDEX('1'!C$300:C$400,MATCH("*"&amp;F18&amp;"*",'1'!B$300:B$400,0)),"  ")</f>
        <v>26</v>
      </c>
      <c r="Q18" s="479">
        <f>IFERROR(INDEX('2'!C$300:C$400,MATCH("*"&amp;F18&amp;"*",'2'!B$300:B$400,0)),"  ")</f>
        <v>22</v>
      </c>
      <c r="R18" s="479" t="str">
        <f>IFERROR(INDEX('5'!C$300:C$400,MATCH("*"&amp;F18&amp;"*",'5'!B$300:B$400,0)),"  ")</f>
        <v xml:space="preserve">  </v>
      </c>
      <c r="S18" s="481">
        <f t="shared" si="11"/>
        <v>2</v>
      </c>
      <c r="T18" s="481">
        <f t="shared" si="12"/>
        <v>0</v>
      </c>
      <c r="U18" s="481">
        <f t="shared" si="13"/>
        <v>0</v>
      </c>
      <c r="V18" s="488"/>
    </row>
    <row r="19" spans="1:22" x14ac:dyDescent="0.2">
      <c r="A19" s="467" t="str">
        <f t="shared" si="0"/>
        <v/>
      </c>
      <c r="B19" s="468" t="str">
        <f t="shared" si="1"/>
        <v/>
      </c>
      <c r="C19" s="469" t="str">
        <f t="shared" si="2"/>
        <v/>
      </c>
      <c r="D19" s="470" t="str">
        <f t="shared" si="3"/>
        <v/>
      </c>
      <c r="E19" s="471">
        <f t="shared" si="4"/>
        <v>13</v>
      </c>
      <c r="F19" s="432" t="s">
        <v>232</v>
      </c>
      <c r="G19" s="472"/>
      <c r="H19" s="473"/>
      <c r="I19" s="474">
        <f t="shared" si="5"/>
        <v>38</v>
      </c>
      <c r="J19" s="475" t="str">
        <f>INDEX(ETAPP!B$1:B$32,MATCH(COUNTIF(P19:R19,PIV!A$1),ETAPP!A$1:A$32,0))&amp;INDEX(ETAPP!B$1:B$32,MATCH(COUNTIF(P19:R19,PIV!A$2),ETAPP!A$1:A$32,0))&amp;INDEX(ETAPP!B$1:B$32,MATCH(COUNTIF(P19:R19,PIV!A$3),ETAPP!A$1:A$32,0))&amp;INDEX(ETAPP!B$1:B$32,MATCH(COUNTIF(P19:R19,PIV!A$4),ETAPP!A$1:A$32,0))&amp;INDEX(ETAPP!B$1:B$32,MATCH(COUNTIF(P19:R19,PIV!A$5),ETAPP!A$1:A$32,0))&amp;INDEX(ETAPP!B$1:B$32,MATCH(COUNTIF(P19:R19,PIV!A$6),ETAPP!A$1:A$32,0))&amp;INDEX(ETAPP!B$1:B$32,MATCH(COUNTIF(P19:R19,PIV!A$7),ETAPP!A$1:A$32,0))&amp;INDEX(ETAPP!B$1:B$32,MATCH(COUNTIF(P19:R19,PIV!A$8),ETAPP!A$1:A$32,0))&amp;INDEX(ETAPP!B$1:B$32,MATCH(COUNTIF(P19:R19,PIV!A$9),ETAPP!A$1:A$32,0))&amp;INDEX(ETAPP!B$1:B$32,MATCH(COUNTIF(P19:R19,PIV!A$10),ETAPP!A$1:A$32,0))&amp;INDEX(ETAPP!B$1:B$32,MATCH(COUNTIF(P19:R19,PIV!A$11),ETAPP!A$1:A$32,0))&amp;INDEX(ETAPP!B$1:B$32,MATCH(COUNTIF(P19:R19,PIV!A$12),ETAPP!A$1:A$32,0))&amp;INDEX(ETAPP!B$1:B$32,MATCH(COUNTIF(P19:R19,PIV!A$13),ETAPP!A$1:A$32,0))&amp;INDEX(ETAPP!B$1:B$32,MATCH(COUNTIF(P19:R19,PIV!A$14),ETAPP!A$1:A$32,0))&amp;INDEX(ETAPP!B$1:B$32,MATCH(COUNTIF(P19:R19,PIV!A$15),ETAPP!A$1:A$32,0))&amp;INDEX(ETAPP!B$1:B$32,MATCH(COUNTIF(P19:R19,PIV!A$16),ETAPP!A$1:A$32,0))&amp;INDEX(ETAPP!B$1:B$32,MATCH(COUNTIF(P19:R19,PIV!A$17),ETAPP!A$1:A$32,0))&amp;INDEX(ETAPP!B$1:B$32,MATCH(COUNTIF(P19:R19,PIV!A$18),ETAPP!A$1:A$32,0))&amp;INDEX(ETAPP!B$1:B$32,MATCH(COUNTIF(P19:R19,PIV!A$19),ETAPP!A$1:A$32,0))</f>
        <v>0000A0000A00000000A</v>
      </c>
      <c r="K19" s="475" t="str">
        <f t="shared" si="6"/>
        <v>038,0-0000A0000A00000000A</v>
      </c>
      <c r="L19" s="476">
        <f t="shared" si="7"/>
        <v>13</v>
      </c>
      <c r="M19" s="476">
        <f t="shared" si="8"/>
        <v>32</v>
      </c>
      <c r="N19" s="475" t="str">
        <f t="shared" si="9"/>
        <v>038,0-0000A0000A00000000A-032</v>
      </c>
      <c r="O19" s="477">
        <f t="shared" si="10"/>
        <v>21</v>
      </c>
      <c r="P19" s="478">
        <f>IFERROR(INDEX('1'!C$300:C$400,MATCH("*"&amp;F19&amp;"*",'1'!B$300:B$400,0)),"  ")</f>
        <v>24</v>
      </c>
      <c r="Q19" s="479" t="str">
        <f>IFERROR(INDEX('2'!C$300:C$400,MATCH("*"&amp;F19&amp;"*",'2'!B$300:B$400,0)),"  ")</f>
        <v xml:space="preserve">  </v>
      </c>
      <c r="R19" s="479">
        <f>IFERROR(INDEX('5'!C$300:C$400,MATCH("*"&amp;F19&amp;"*",'5'!B$300:B$400,0)),"  ")</f>
        <v>14</v>
      </c>
      <c r="S19" s="481">
        <f t="shared" si="11"/>
        <v>2</v>
      </c>
      <c r="T19" s="481">
        <f t="shared" si="12"/>
        <v>0</v>
      </c>
      <c r="U19" s="481">
        <f t="shared" si="13"/>
        <v>0</v>
      </c>
      <c r="V19" s="412"/>
    </row>
    <row r="20" spans="1:22" x14ac:dyDescent="0.2">
      <c r="A20" s="467" t="str">
        <f t="shared" si="0"/>
        <v/>
      </c>
      <c r="B20" s="468" t="str">
        <f t="shared" si="1"/>
        <v/>
      </c>
      <c r="C20" s="469" t="str">
        <f t="shared" si="2"/>
        <v/>
      </c>
      <c r="D20" s="470" t="str">
        <f t="shared" si="3"/>
        <v/>
      </c>
      <c r="E20" s="471">
        <f t="shared" si="4"/>
        <v>14</v>
      </c>
      <c r="F20" s="487" t="s">
        <v>231</v>
      </c>
      <c r="G20" s="472"/>
      <c r="H20" s="473"/>
      <c r="I20" s="474">
        <f t="shared" si="5"/>
        <v>36</v>
      </c>
      <c r="J20" s="475" t="str">
        <f>INDEX(ETAPP!B$1:B$32,MATCH(COUNTIF(P20:R20,PIV!A$1),ETAPP!A$1:A$32,0))&amp;INDEX(ETAPP!B$1:B$32,MATCH(COUNTIF(P20:R20,PIV!A$2),ETAPP!A$1:A$32,0))&amp;INDEX(ETAPP!B$1:B$32,MATCH(COUNTIF(P20:R20,PIV!A$3),ETAPP!A$1:A$32,0))&amp;INDEX(ETAPP!B$1:B$32,MATCH(COUNTIF(P20:R20,PIV!A$4),ETAPP!A$1:A$32,0))&amp;INDEX(ETAPP!B$1:B$32,MATCH(COUNTIF(P20:R20,PIV!A$5),ETAPP!A$1:A$32,0))&amp;INDEX(ETAPP!B$1:B$32,MATCH(COUNTIF(P20:R20,PIV!A$6),ETAPP!A$1:A$32,0))&amp;INDEX(ETAPP!B$1:B$32,MATCH(COUNTIF(P20:R20,PIV!A$7),ETAPP!A$1:A$32,0))&amp;INDEX(ETAPP!B$1:B$32,MATCH(COUNTIF(P20:R20,PIV!A$8),ETAPP!A$1:A$32,0))&amp;INDEX(ETAPP!B$1:B$32,MATCH(COUNTIF(P20:R20,PIV!A$9),ETAPP!A$1:A$32,0))&amp;INDEX(ETAPP!B$1:B$32,MATCH(COUNTIF(P20:R20,PIV!A$10),ETAPP!A$1:A$32,0))&amp;INDEX(ETAPP!B$1:B$32,MATCH(COUNTIF(P20:R20,PIV!A$11),ETAPP!A$1:A$32,0))&amp;INDEX(ETAPP!B$1:B$32,MATCH(COUNTIF(P20:R20,PIV!A$12),ETAPP!A$1:A$32,0))&amp;INDEX(ETAPP!B$1:B$32,MATCH(COUNTIF(P20:R20,PIV!A$13),ETAPP!A$1:A$32,0))&amp;INDEX(ETAPP!B$1:B$32,MATCH(COUNTIF(P20:R20,PIV!A$14),ETAPP!A$1:A$32,0))&amp;INDEX(ETAPP!B$1:B$32,MATCH(COUNTIF(P20:R20,PIV!A$15),ETAPP!A$1:A$32,0))&amp;INDEX(ETAPP!B$1:B$32,MATCH(COUNTIF(P20:R20,PIV!A$16),ETAPP!A$1:A$32,0))&amp;INDEX(ETAPP!B$1:B$32,MATCH(COUNTIF(P20:R20,PIV!A$17),ETAPP!A$1:A$32,0))&amp;INDEX(ETAPP!B$1:B$32,MATCH(COUNTIF(P20:R20,PIV!A$18),ETAPP!A$1:A$32,0))&amp;INDEX(ETAPP!B$1:B$32,MATCH(COUNTIF(P20:R20,PIV!A$19),ETAPP!A$1:A$32,0))</f>
        <v>000A0000000A000000A</v>
      </c>
      <c r="K20" s="475" t="str">
        <f t="shared" si="6"/>
        <v>036,0-000A0000000A000000A</v>
      </c>
      <c r="L20" s="476">
        <f t="shared" si="7"/>
        <v>14</v>
      </c>
      <c r="M20" s="476">
        <f t="shared" si="8"/>
        <v>29</v>
      </c>
      <c r="N20" s="475" t="str">
        <f t="shared" si="9"/>
        <v>036,0-000A0000000A000000A-029</v>
      </c>
      <c r="O20" s="477">
        <f t="shared" si="10"/>
        <v>20</v>
      </c>
      <c r="P20" s="478">
        <f>IFERROR(INDEX('1'!C$300:C$400,MATCH("*"&amp;F20&amp;"*",'1'!B$300:B$400,0)),"  ")</f>
        <v>26</v>
      </c>
      <c r="Q20" s="479" t="str">
        <f>IFERROR(INDEX('2'!C$300:C$400,MATCH("*"&amp;F20&amp;"*",'2'!B$300:B$400,0)),"  ")</f>
        <v xml:space="preserve">  </v>
      </c>
      <c r="R20" s="479">
        <f>IFERROR(INDEX('5'!C$300:C$400,MATCH("*"&amp;F20&amp;"*",'5'!B$300:B$400,0)),"  ")</f>
        <v>10</v>
      </c>
      <c r="S20" s="481">
        <f t="shared" si="11"/>
        <v>2</v>
      </c>
      <c r="T20" s="481">
        <f t="shared" si="12"/>
        <v>0</v>
      </c>
      <c r="U20" s="481">
        <f t="shared" si="13"/>
        <v>0</v>
      </c>
      <c r="V20" s="412"/>
    </row>
    <row r="21" spans="1:22" x14ac:dyDescent="0.2">
      <c r="A21" s="467">
        <f t="shared" si="0"/>
        <v>1</v>
      </c>
      <c r="B21" s="468">
        <f t="shared" si="1"/>
        <v>15</v>
      </c>
      <c r="C21" s="469" t="str">
        <f t="shared" si="2"/>
        <v/>
      </c>
      <c r="D21" s="470" t="str">
        <f t="shared" si="3"/>
        <v/>
      </c>
      <c r="E21" s="471">
        <f t="shared" si="4"/>
        <v>15</v>
      </c>
      <c r="F21" s="484" t="s">
        <v>261</v>
      </c>
      <c r="G21" s="472" t="s">
        <v>234</v>
      </c>
      <c r="H21" s="473"/>
      <c r="I21" s="474">
        <f t="shared" si="5"/>
        <v>36</v>
      </c>
      <c r="J21" s="475" t="str">
        <f>INDEX(ETAPP!B$1:B$32,MATCH(COUNTIF(P21:R21,PIV!A$1),ETAPP!A$1:A$32,0))&amp;INDEX(ETAPP!B$1:B$32,MATCH(COUNTIF(P21:R21,PIV!A$2),ETAPP!A$1:A$32,0))&amp;INDEX(ETAPP!B$1:B$32,MATCH(COUNTIF(P21:R21,PIV!A$3),ETAPP!A$1:A$32,0))&amp;INDEX(ETAPP!B$1:B$32,MATCH(COUNTIF(P21:R21,PIV!A$4),ETAPP!A$1:A$32,0))&amp;INDEX(ETAPP!B$1:B$32,MATCH(COUNTIF(P21:R21,PIV!A$5),ETAPP!A$1:A$32,0))&amp;INDEX(ETAPP!B$1:B$32,MATCH(COUNTIF(P21:R21,PIV!A$6),ETAPP!A$1:A$32,0))&amp;INDEX(ETAPP!B$1:B$32,MATCH(COUNTIF(P21:R21,PIV!A$7),ETAPP!A$1:A$32,0))&amp;INDEX(ETAPP!B$1:B$32,MATCH(COUNTIF(P21:R21,PIV!A$8),ETAPP!A$1:A$32,0))&amp;INDEX(ETAPP!B$1:B$32,MATCH(COUNTIF(P21:R21,PIV!A$9),ETAPP!A$1:A$32,0))&amp;INDEX(ETAPP!B$1:B$32,MATCH(COUNTIF(P21:R21,PIV!A$10),ETAPP!A$1:A$32,0))&amp;INDEX(ETAPP!B$1:B$32,MATCH(COUNTIF(P21:R21,PIV!A$11),ETAPP!A$1:A$32,0))&amp;INDEX(ETAPP!B$1:B$32,MATCH(COUNTIF(P21:R21,PIV!A$12),ETAPP!A$1:A$32,0))&amp;INDEX(ETAPP!B$1:B$32,MATCH(COUNTIF(P21:R21,PIV!A$13),ETAPP!A$1:A$32,0))&amp;INDEX(ETAPP!B$1:B$32,MATCH(COUNTIF(P21:R21,PIV!A$14),ETAPP!A$1:A$32,0))&amp;INDEX(ETAPP!B$1:B$32,MATCH(COUNTIF(P21:R21,PIV!A$15),ETAPP!A$1:A$32,0))&amp;INDEX(ETAPP!B$1:B$32,MATCH(COUNTIF(P21:R21,PIV!A$16),ETAPP!A$1:A$32,0))&amp;INDEX(ETAPP!B$1:B$32,MATCH(COUNTIF(P21:R21,PIV!A$17),ETAPP!A$1:A$32,0))&amp;INDEX(ETAPP!B$1:B$32,MATCH(COUNTIF(P21:R21,PIV!A$18),ETAPP!A$1:A$32,0))&amp;INDEX(ETAPP!B$1:B$32,MATCH(COUNTIF(P21:R21,PIV!A$19),ETAPP!A$1:A$32,0))</f>
        <v>0000A00000A0000000A</v>
      </c>
      <c r="K21" s="475" t="str">
        <f t="shared" si="6"/>
        <v>036,0-0000A00000A0000000A</v>
      </c>
      <c r="L21" s="476">
        <f t="shared" si="7"/>
        <v>15</v>
      </c>
      <c r="M21" s="476">
        <f t="shared" si="8"/>
        <v>19</v>
      </c>
      <c r="N21" s="475" t="str">
        <f t="shared" si="9"/>
        <v>036,0-0000A00000A0000000A-019</v>
      </c>
      <c r="O21" s="477">
        <f t="shared" si="10"/>
        <v>19</v>
      </c>
      <c r="P21" s="478">
        <f>IFERROR(INDEX('1'!C$300:C$400,MATCH("*"&amp;F21&amp;"*",'1'!B$300:B$400,0)),"  ")</f>
        <v>24</v>
      </c>
      <c r="Q21" s="479">
        <f>IFERROR(INDEX('2'!C$300:C$400,MATCH("*"&amp;F21&amp;"*",'2'!B$300:B$400,0)),"  ")</f>
        <v>12</v>
      </c>
      <c r="R21" s="479" t="str">
        <f>IFERROR(INDEX('5'!C$300:C$400,MATCH("*"&amp;F21&amp;"*",'5'!B$300:B$400,0)),"  ")</f>
        <v xml:space="preserve">  </v>
      </c>
      <c r="S21" s="481">
        <f t="shared" si="11"/>
        <v>2</v>
      </c>
      <c r="T21" s="481">
        <f t="shared" si="12"/>
        <v>0</v>
      </c>
      <c r="U21" s="481">
        <f t="shared" si="13"/>
        <v>0</v>
      </c>
      <c r="V21" s="412"/>
    </row>
    <row r="22" spans="1:22" x14ac:dyDescent="0.2">
      <c r="A22" s="467" t="str">
        <f t="shared" si="0"/>
        <v/>
      </c>
      <c r="B22" s="468" t="str">
        <f t="shared" si="1"/>
        <v/>
      </c>
      <c r="C22" s="469" t="str">
        <f t="shared" si="2"/>
        <v/>
      </c>
      <c r="D22" s="470" t="str">
        <f t="shared" si="3"/>
        <v/>
      </c>
      <c r="E22" s="471">
        <f t="shared" si="4"/>
        <v>16</v>
      </c>
      <c r="F22" s="484" t="s">
        <v>236</v>
      </c>
      <c r="G22" s="472"/>
      <c r="H22" s="473"/>
      <c r="I22" s="474">
        <f t="shared" si="5"/>
        <v>34</v>
      </c>
      <c r="J22" s="475" t="str">
        <f>INDEX(ETAPP!B$1:B$32,MATCH(COUNTIF(P22:R22,PIV!A$1),ETAPP!A$1:A$32,0))&amp;INDEX(ETAPP!B$1:B$32,MATCH(COUNTIF(P22:R22,PIV!A$2),ETAPP!A$1:A$32,0))&amp;INDEX(ETAPP!B$1:B$32,MATCH(COUNTIF(P22:R22,PIV!A$3),ETAPP!A$1:A$32,0))&amp;INDEX(ETAPP!B$1:B$32,MATCH(COUNTIF(P22:R22,PIV!A$4),ETAPP!A$1:A$32,0))&amp;INDEX(ETAPP!B$1:B$32,MATCH(COUNTIF(P22:R22,PIV!A$5),ETAPP!A$1:A$32,0))&amp;INDEX(ETAPP!B$1:B$32,MATCH(COUNTIF(P22:R22,PIV!A$6),ETAPP!A$1:A$32,0))&amp;INDEX(ETAPP!B$1:B$32,MATCH(COUNTIF(P22:R22,PIV!A$7),ETAPP!A$1:A$32,0))&amp;INDEX(ETAPP!B$1:B$32,MATCH(COUNTIF(P22:R22,PIV!A$8),ETAPP!A$1:A$32,0))&amp;INDEX(ETAPP!B$1:B$32,MATCH(COUNTIF(P22:R22,PIV!A$9),ETAPP!A$1:A$32,0))&amp;INDEX(ETAPP!B$1:B$32,MATCH(COUNTIF(P22:R22,PIV!A$10),ETAPP!A$1:A$32,0))&amp;INDEX(ETAPP!B$1:B$32,MATCH(COUNTIF(P22:R22,PIV!A$11),ETAPP!A$1:A$32,0))&amp;INDEX(ETAPP!B$1:B$32,MATCH(COUNTIF(P22:R22,PIV!A$12),ETAPP!A$1:A$32,0))&amp;INDEX(ETAPP!B$1:B$32,MATCH(COUNTIF(P22:R22,PIV!A$13),ETAPP!A$1:A$32,0))&amp;INDEX(ETAPP!B$1:B$32,MATCH(COUNTIF(P22:R22,PIV!A$14),ETAPP!A$1:A$32,0))&amp;INDEX(ETAPP!B$1:B$32,MATCH(COUNTIF(P22:R22,PIV!A$15),ETAPP!A$1:A$32,0))&amp;INDEX(ETAPP!B$1:B$32,MATCH(COUNTIF(P22:R22,PIV!A$16),ETAPP!A$1:A$32,0))&amp;INDEX(ETAPP!B$1:B$32,MATCH(COUNTIF(P22:R22,PIV!A$17),ETAPP!A$1:A$32,0))&amp;INDEX(ETAPP!B$1:B$32,MATCH(COUNTIF(P22:R22,PIV!A$18),ETAPP!A$1:A$32,0))&amp;INDEX(ETAPP!B$1:B$32,MATCH(COUNTIF(P22:R22,PIV!A$19),ETAPP!A$1:A$32,0))</f>
        <v>00000A0000A0000000A</v>
      </c>
      <c r="K22" s="475" t="str">
        <f t="shared" si="6"/>
        <v>034,0-00000A0000A0000000A</v>
      </c>
      <c r="L22" s="476">
        <f t="shared" si="7"/>
        <v>16</v>
      </c>
      <c r="M22" s="476">
        <f t="shared" si="8"/>
        <v>30</v>
      </c>
      <c r="N22" s="475" t="str">
        <f t="shared" si="9"/>
        <v>034,0-00000A0000A0000000A-030</v>
      </c>
      <c r="O22" s="477">
        <f t="shared" si="10"/>
        <v>18</v>
      </c>
      <c r="P22" s="478">
        <f>IFERROR(INDEX('1'!C$300:C$400,MATCH("*"&amp;F22&amp;"*",'1'!B$300:B$400,0)),"  ")</f>
        <v>22</v>
      </c>
      <c r="Q22" s="479" t="str">
        <f>IFERROR(INDEX('2'!C$300:C$400,MATCH("*"&amp;F22&amp;"*",'2'!B$300:B$400,0)),"  ")</f>
        <v xml:space="preserve">  </v>
      </c>
      <c r="R22" s="479">
        <f>IFERROR(INDEX('5'!C$300:C$400,MATCH("*"&amp;F22&amp;"*",'5'!B$300:B$400,0)),"  ")</f>
        <v>12</v>
      </c>
      <c r="S22" s="481">
        <f t="shared" si="11"/>
        <v>2</v>
      </c>
      <c r="T22" s="481">
        <f t="shared" si="12"/>
        <v>0</v>
      </c>
      <c r="U22" s="481">
        <f t="shared" si="13"/>
        <v>0</v>
      </c>
      <c r="V22" s="412"/>
    </row>
    <row r="23" spans="1:22" x14ac:dyDescent="0.2">
      <c r="A23" s="467" t="str">
        <f t="shared" si="0"/>
        <v/>
      </c>
      <c r="B23" s="468" t="str">
        <f t="shared" si="1"/>
        <v/>
      </c>
      <c r="C23" s="469">
        <f t="shared" si="2"/>
        <v>1</v>
      </c>
      <c r="D23" s="470">
        <f t="shared" si="3"/>
        <v>17</v>
      </c>
      <c r="E23" s="471">
        <f t="shared" si="4"/>
        <v>17</v>
      </c>
      <c r="F23" s="487" t="s">
        <v>249</v>
      </c>
      <c r="G23" s="460"/>
      <c r="H23" s="483" t="s">
        <v>240</v>
      </c>
      <c r="I23" s="474">
        <f t="shared" si="5"/>
        <v>30</v>
      </c>
      <c r="J23" s="475" t="str">
        <f>INDEX(ETAPP!B$1:B$32,MATCH(COUNTIF(P23:R23,PIV!A$1),ETAPP!A$1:A$32,0))&amp;INDEX(ETAPP!B$1:B$32,MATCH(COUNTIF(P23:R23,PIV!A$2),ETAPP!A$1:A$32,0))&amp;INDEX(ETAPP!B$1:B$32,MATCH(COUNTIF(P23:R23,PIV!A$3),ETAPP!A$1:A$32,0))&amp;INDEX(ETAPP!B$1:B$32,MATCH(COUNTIF(P23:R23,PIV!A$4),ETAPP!A$1:A$32,0))&amp;INDEX(ETAPP!B$1:B$32,MATCH(COUNTIF(P23:R23,PIV!A$5),ETAPP!A$1:A$32,0))&amp;INDEX(ETAPP!B$1:B$32,MATCH(COUNTIF(P23:R23,PIV!A$6),ETAPP!A$1:A$32,0))&amp;INDEX(ETAPP!B$1:B$32,MATCH(COUNTIF(P23:R23,PIV!A$7),ETAPP!A$1:A$32,0))&amp;INDEX(ETAPP!B$1:B$32,MATCH(COUNTIF(P23:R23,PIV!A$8),ETAPP!A$1:A$32,0))&amp;INDEX(ETAPP!B$1:B$32,MATCH(COUNTIF(P23:R23,PIV!A$9),ETAPP!A$1:A$32,0))&amp;INDEX(ETAPP!B$1:B$32,MATCH(COUNTIF(P23:R23,PIV!A$10),ETAPP!A$1:A$32,0))&amp;INDEX(ETAPP!B$1:B$32,MATCH(COUNTIF(P23:R23,PIV!A$11),ETAPP!A$1:A$32,0))&amp;INDEX(ETAPP!B$1:B$32,MATCH(COUNTIF(P23:R23,PIV!A$12),ETAPP!A$1:A$32,0))&amp;INDEX(ETAPP!B$1:B$32,MATCH(COUNTIF(P23:R23,PIV!A$13),ETAPP!A$1:A$32,0))&amp;INDEX(ETAPP!B$1:B$32,MATCH(COUNTIF(P23:R23,PIV!A$14),ETAPP!A$1:A$32,0))&amp;INDEX(ETAPP!B$1:B$32,MATCH(COUNTIF(P23:R23,PIV!A$15),ETAPP!A$1:A$32,0))&amp;INDEX(ETAPP!B$1:B$32,MATCH(COUNTIF(P23:R23,PIV!A$16),ETAPP!A$1:A$32,0))&amp;INDEX(ETAPP!B$1:B$32,MATCH(COUNTIF(P23:R23,PIV!A$17),ETAPP!A$1:A$32,0))&amp;INDEX(ETAPP!B$1:B$32,MATCH(COUNTIF(P23:R23,PIV!A$18),ETAPP!A$1:A$32,0))&amp;INDEX(ETAPP!B$1:B$32,MATCH(COUNTIF(P23:R23,PIV!A$19),ETAPP!A$1:A$32,0))</f>
        <v>00A000000000000000B</v>
      </c>
      <c r="K23" s="475" t="str">
        <f t="shared" si="6"/>
        <v>030,0-00A000000000000000B</v>
      </c>
      <c r="L23" s="476">
        <f t="shared" si="7"/>
        <v>17</v>
      </c>
      <c r="M23" s="476">
        <f t="shared" si="8"/>
        <v>8</v>
      </c>
      <c r="N23" s="475" t="str">
        <f t="shared" si="9"/>
        <v>030,0-00A000000000000000B-008</v>
      </c>
      <c r="O23" s="477">
        <f t="shared" si="10"/>
        <v>17</v>
      </c>
      <c r="P23" s="478">
        <f>IFERROR(INDEX('1'!C$300:C$400,MATCH("*"&amp;F23&amp;"*",'1'!B$300:B$400,0)),"  ")</f>
        <v>30</v>
      </c>
      <c r="Q23" s="479" t="str">
        <f>IFERROR(INDEX('2'!C$300:C$400,MATCH("*"&amp;F23&amp;"*",'2'!B$300:B$400,0)),"  ")</f>
        <v xml:space="preserve">  </v>
      </c>
      <c r="R23" s="479" t="str">
        <f>IFERROR(INDEX('5'!C$300:C$400,MATCH("*"&amp;F23&amp;"*",'5'!B$300:B$400,0)),"  ")</f>
        <v xml:space="preserve">  </v>
      </c>
      <c r="S23" s="481">
        <f t="shared" si="11"/>
        <v>1</v>
      </c>
      <c r="T23" s="481">
        <f t="shared" si="12"/>
        <v>1</v>
      </c>
      <c r="U23" s="481">
        <f t="shared" si="13"/>
        <v>0</v>
      </c>
      <c r="V23" s="412"/>
    </row>
    <row r="24" spans="1:22" x14ac:dyDescent="0.2">
      <c r="A24" s="467" t="str">
        <f t="shared" si="0"/>
        <v/>
      </c>
      <c r="B24" s="468" t="str">
        <f t="shared" si="1"/>
        <v/>
      </c>
      <c r="C24" s="469" t="str">
        <f t="shared" si="2"/>
        <v/>
      </c>
      <c r="D24" s="470" t="str">
        <f t="shared" si="3"/>
        <v/>
      </c>
      <c r="E24" s="471">
        <f t="shared" si="4"/>
        <v>18</v>
      </c>
      <c r="F24" s="432" t="s">
        <v>238</v>
      </c>
      <c r="G24" s="472"/>
      <c r="H24" s="473"/>
      <c r="I24" s="474">
        <f t="shared" si="5"/>
        <v>26</v>
      </c>
      <c r="J24" s="475" t="str">
        <f>INDEX(ETAPP!B$1:B$32,MATCH(COUNTIF(P24:R24,PIV!A$1),ETAPP!A$1:A$32,0))&amp;INDEX(ETAPP!B$1:B$32,MATCH(COUNTIF(P24:R24,PIV!A$2),ETAPP!A$1:A$32,0))&amp;INDEX(ETAPP!B$1:B$32,MATCH(COUNTIF(P24:R24,PIV!A$3),ETAPP!A$1:A$32,0))&amp;INDEX(ETAPP!B$1:B$32,MATCH(COUNTIF(P24:R24,PIV!A$4),ETAPP!A$1:A$32,0))&amp;INDEX(ETAPP!B$1:B$32,MATCH(COUNTIF(P24:R24,PIV!A$5),ETAPP!A$1:A$32,0))&amp;INDEX(ETAPP!B$1:B$32,MATCH(COUNTIF(P24:R24,PIV!A$6),ETAPP!A$1:A$32,0))&amp;INDEX(ETAPP!B$1:B$32,MATCH(COUNTIF(P24:R24,PIV!A$7),ETAPP!A$1:A$32,0))&amp;INDEX(ETAPP!B$1:B$32,MATCH(COUNTIF(P24:R24,PIV!A$8),ETAPP!A$1:A$32,0))&amp;INDEX(ETAPP!B$1:B$32,MATCH(COUNTIF(P24:R24,PIV!A$9),ETAPP!A$1:A$32,0))&amp;INDEX(ETAPP!B$1:B$32,MATCH(COUNTIF(P24:R24,PIV!A$10),ETAPP!A$1:A$32,0))&amp;INDEX(ETAPP!B$1:B$32,MATCH(COUNTIF(P24:R24,PIV!A$11),ETAPP!A$1:A$32,0))&amp;INDEX(ETAPP!B$1:B$32,MATCH(COUNTIF(P24:R24,PIV!A$12),ETAPP!A$1:A$32,0))&amp;INDEX(ETAPP!B$1:B$32,MATCH(COUNTIF(P24:R24,PIV!A$13),ETAPP!A$1:A$32,0))&amp;INDEX(ETAPP!B$1:B$32,MATCH(COUNTIF(P24:R24,PIV!A$14),ETAPP!A$1:A$32,0))&amp;INDEX(ETAPP!B$1:B$32,MATCH(COUNTIF(P24:R24,PIV!A$15),ETAPP!A$1:A$32,0))&amp;INDEX(ETAPP!B$1:B$32,MATCH(COUNTIF(P24:R24,PIV!A$16),ETAPP!A$1:A$32,0))&amp;INDEX(ETAPP!B$1:B$32,MATCH(COUNTIF(P24:R24,PIV!A$17),ETAPP!A$1:A$32,0))&amp;INDEX(ETAPP!B$1:B$32,MATCH(COUNTIF(P24:R24,PIV!A$18),ETAPP!A$1:A$32,0))&amp;INDEX(ETAPP!B$1:B$32,MATCH(COUNTIF(P24:R24,PIV!A$19),ETAPP!A$1:A$32,0))</f>
        <v>000A00000000000000B</v>
      </c>
      <c r="K24" s="475" t="str">
        <f t="shared" si="6"/>
        <v>026,0-000A00000000000000B</v>
      </c>
      <c r="L24" s="476">
        <f t="shared" si="7"/>
        <v>18</v>
      </c>
      <c r="M24" s="476">
        <f t="shared" si="8"/>
        <v>18</v>
      </c>
      <c r="N24" s="475" t="str">
        <f t="shared" si="9"/>
        <v>026,0-000A00000000000000B-018</v>
      </c>
      <c r="O24" s="477">
        <f t="shared" si="10"/>
        <v>16</v>
      </c>
      <c r="P24" s="478" t="str">
        <f>IFERROR(INDEX('1'!C$300:C$400,MATCH("*"&amp;F24&amp;"*",'1'!B$300:B$400,0)),"  ")</f>
        <v xml:space="preserve">  </v>
      </c>
      <c r="Q24" s="479">
        <f>IFERROR(INDEX('2'!C$300:C$400,MATCH("*"&amp;F24&amp;"*",'2'!B$300:B$400,0)),"  ")</f>
        <v>26</v>
      </c>
      <c r="R24" s="479" t="str">
        <f>IFERROR(INDEX('5'!C$300:C$400,MATCH("*"&amp;F24&amp;"*",'5'!B$300:B$400,0)),"  ")</f>
        <v xml:space="preserve">  </v>
      </c>
      <c r="S24" s="481">
        <f t="shared" si="11"/>
        <v>1</v>
      </c>
      <c r="T24" s="481">
        <f t="shared" si="12"/>
        <v>0</v>
      </c>
      <c r="U24" s="481">
        <f t="shared" si="13"/>
        <v>0</v>
      </c>
      <c r="V24" s="412"/>
    </row>
    <row r="25" spans="1:22" x14ac:dyDescent="0.2">
      <c r="A25" s="467" t="str">
        <f t="shared" si="0"/>
        <v/>
      </c>
      <c r="B25" s="468" t="str">
        <f t="shared" si="1"/>
        <v/>
      </c>
      <c r="C25" s="469" t="str">
        <f t="shared" si="2"/>
        <v/>
      </c>
      <c r="D25" s="470" t="str">
        <f t="shared" si="3"/>
        <v/>
      </c>
      <c r="E25" s="471">
        <f t="shared" si="4"/>
        <v>19</v>
      </c>
      <c r="F25" s="432" t="s">
        <v>245</v>
      </c>
      <c r="G25" s="472"/>
      <c r="H25" s="473"/>
      <c r="I25" s="474">
        <f t="shared" si="5"/>
        <v>24</v>
      </c>
      <c r="J25" s="475" t="str">
        <f>INDEX(ETAPP!B$1:B$32,MATCH(COUNTIF(P25:R25,PIV!A$1),ETAPP!A$1:A$32,0))&amp;INDEX(ETAPP!B$1:B$32,MATCH(COUNTIF(P25:R25,PIV!A$2),ETAPP!A$1:A$32,0))&amp;INDEX(ETAPP!B$1:B$32,MATCH(COUNTIF(P25:R25,PIV!A$3),ETAPP!A$1:A$32,0))&amp;INDEX(ETAPP!B$1:B$32,MATCH(COUNTIF(P25:R25,PIV!A$4),ETAPP!A$1:A$32,0))&amp;INDEX(ETAPP!B$1:B$32,MATCH(COUNTIF(P25:R25,PIV!A$5),ETAPP!A$1:A$32,0))&amp;INDEX(ETAPP!B$1:B$32,MATCH(COUNTIF(P25:R25,PIV!A$6),ETAPP!A$1:A$32,0))&amp;INDEX(ETAPP!B$1:B$32,MATCH(COUNTIF(P25:R25,PIV!A$7),ETAPP!A$1:A$32,0))&amp;INDEX(ETAPP!B$1:B$32,MATCH(COUNTIF(P25:R25,PIV!A$8),ETAPP!A$1:A$32,0))&amp;INDEX(ETAPP!B$1:B$32,MATCH(COUNTIF(P25:R25,PIV!A$9),ETAPP!A$1:A$32,0))&amp;INDEX(ETAPP!B$1:B$32,MATCH(COUNTIF(P25:R25,PIV!A$10),ETAPP!A$1:A$32,0))&amp;INDEX(ETAPP!B$1:B$32,MATCH(COUNTIF(P25:R25,PIV!A$11),ETAPP!A$1:A$32,0))&amp;INDEX(ETAPP!B$1:B$32,MATCH(COUNTIF(P25:R25,PIV!A$12),ETAPP!A$1:A$32,0))&amp;INDEX(ETAPP!B$1:B$32,MATCH(COUNTIF(P25:R25,PIV!A$13),ETAPP!A$1:A$32,0))&amp;INDEX(ETAPP!B$1:B$32,MATCH(COUNTIF(P25:R25,PIV!A$14),ETAPP!A$1:A$32,0))&amp;INDEX(ETAPP!B$1:B$32,MATCH(COUNTIF(P25:R25,PIV!A$15),ETAPP!A$1:A$32,0))&amp;INDEX(ETAPP!B$1:B$32,MATCH(COUNTIF(P25:R25,PIV!A$16),ETAPP!A$1:A$32,0))&amp;INDEX(ETAPP!B$1:B$32,MATCH(COUNTIF(P25:R25,PIV!A$17),ETAPP!A$1:A$32,0))&amp;INDEX(ETAPP!B$1:B$32,MATCH(COUNTIF(P25:R25,PIV!A$18),ETAPP!A$1:A$32,0))&amp;INDEX(ETAPP!B$1:B$32,MATCH(COUNTIF(P25:R25,PIV!A$19),ETAPP!A$1:A$32,0))</f>
        <v>0000A0000000000000B</v>
      </c>
      <c r="K25" s="475" t="str">
        <f t="shared" si="6"/>
        <v>024,0-0000A0000000000000B</v>
      </c>
      <c r="L25" s="476">
        <f t="shared" si="7"/>
        <v>20</v>
      </c>
      <c r="M25" s="476">
        <f t="shared" si="8"/>
        <v>21</v>
      </c>
      <c r="N25" s="475" t="str">
        <f t="shared" si="9"/>
        <v>024,0-0000A0000000000000B-021</v>
      </c>
      <c r="O25" s="477">
        <f t="shared" si="10"/>
        <v>15</v>
      </c>
      <c r="P25" s="478" t="str">
        <f>IFERROR(INDEX('1'!C$300:C$400,MATCH("*"&amp;F25&amp;"*",'1'!B$300:B$400,0)),"  ")</f>
        <v xml:space="preserve">  </v>
      </c>
      <c r="Q25" s="479">
        <f>IFERROR(INDEX('2'!C$300:C$400,MATCH("*"&amp;F25&amp;"*",'2'!B$300:B$400,0)),"  ")</f>
        <v>24</v>
      </c>
      <c r="R25" s="479" t="str">
        <f>IFERROR(INDEX('5'!C$300:C$400,MATCH("*"&amp;F25&amp;"*",'5'!B$300:B$400,0)),"  ")</f>
        <v xml:space="preserve">  </v>
      </c>
      <c r="S25" s="481">
        <f t="shared" si="11"/>
        <v>1</v>
      </c>
      <c r="T25" s="481">
        <f t="shared" si="12"/>
        <v>0</v>
      </c>
      <c r="U25" s="481">
        <f t="shared" si="13"/>
        <v>0</v>
      </c>
      <c r="V25" s="412"/>
    </row>
    <row r="26" spans="1:22" x14ac:dyDescent="0.2">
      <c r="A26" s="467" t="str">
        <f t="shared" si="0"/>
        <v/>
      </c>
      <c r="B26" s="468" t="str">
        <f t="shared" si="1"/>
        <v/>
      </c>
      <c r="C26" s="469" t="str">
        <f t="shared" si="2"/>
        <v/>
      </c>
      <c r="D26" s="470" t="str">
        <f t="shared" si="3"/>
        <v/>
      </c>
      <c r="E26" s="471">
        <f t="shared" si="4"/>
        <v>19</v>
      </c>
      <c r="F26" s="486" t="s">
        <v>225</v>
      </c>
      <c r="G26" s="472"/>
      <c r="H26" s="473"/>
      <c r="I26" s="474">
        <f t="shared" si="5"/>
        <v>24</v>
      </c>
      <c r="J26" s="475" t="str">
        <f>INDEX(ETAPP!B$1:B$32,MATCH(COUNTIF(P26:R26,PIV!A$1),ETAPP!A$1:A$32,0))&amp;INDEX(ETAPP!B$1:B$32,MATCH(COUNTIF(P26:R26,PIV!A$2),ETAPP!A$1:A$32,0))&amp;INDEX(ETAPP!B$1:B$32,MATCH(COUNTIF(P26:R26,PIV!A$3),ETAPP!A$1:A$32,0))&amp;INDEX(ETAPP!B$1:B$32,MATCH(COUNTIF(P26:R26,PIV!A$4),ETAPP!A$1:A$32,0))&amp;INDEX(ETAPP!B$1:B$32,MATCH(COUNTIF(P26:R26,PIV!A$5),ETAPP!A$1:A$32,0))&amp;INDEX(ETAPP!B$1:B$32,MATCH(COUNTIF(P26:R26,PIV!A$6),ETAPP!A$1:A$32,0))&amp;INDEX(ETAPP!B$1:B$32,MATCH(COUNTIF(P26:R26,PIV!A$7),ETAPP!A$1:A$32,0))&amp;INDEX(ETAPP!B$1:B$32,MATCH(COUNTIF(P26:R26,PIV!A$8),ETAPP!A$1:A$32,0))&amp;INDEX(ETAPP!B$1:B$32,MATCH(COUNTIF(P26:R26,PIV!A$9),ETAPP!A$1:A$32,0))&amp;INDEX(ETAPP!B$1:B$32,MATCH(COUNTIF(P26:R26,PIV!A$10),ETAPP!A$1:A$32,0))&amp;INDEX(ETAPP!B$1:B$32,MATCH(COUNTIF(P26:R26,PIV!A$11),ETAPP!A$1:A$32,0))&amp;INDEX(ETAPP!B$1:B$32,MATCH(COUNTIF(P26:R26,PIV!A$12),ETAPP!A$1:A$32,0))&amp;INDEX(ETAPP!B$1:B$32,MATCH(COUNTIF(P26:R26,PIV!A$13),ETAPP!A$1:A$32,0))&amp;INDEX(ETAPP!B$1:B$32,MATCH(COUNTIF(P26:R26,PIV!A$14),ETAPP!A$1:A$32,0))&amp;INDEX(ETAPP!B$1:B$32,MATCH(COUNTIF(P26:R26,PIV!A$15),ETAPP!A$1:A$32,0))&amp;INDEX(ETAPP!B$1:B$32,MATCH(COUNTIF(P26:R26,PIV!A$16),ETAPP!A$1:A$32,0))&amp;INDEX(ETAPP!B$1:B$32,MATCH(COUNTIF(P26:R26,PIV!A$17),ETAPP!A$1:A$32,0))&amp;INDEX(ETAPP!B$1:B$32,MATCH(COUNTIF(P26:R26,PIV!A$18),ETAPP!A$1:A$32,0))&amp;INDEX(ETAPP!B$1:B$32,MATCH(COUNTIF(P26:R26,PIV!A$19),ETAPP!A$1:A$32,0))</f>
        <v>0000A0000000000000B</v>
      </c>
      <c r="K26" s="475" t="str">
        <f t="shared" si="6"/>
        <v>024,0-0000A0000000000000B</v>
      </c>
      <c r="L26" s="476">
        <f t="shared" si="7"/>
        <v>20</v>
      </c>
      <c r="M26" s="476">
        <f t="shared" si="8"/>
        <v>20</v>
      </c>
      <c r="N26" s="475" t="str">
        <f t="shared" si="9"/>
        <v>024,0-0000A0000000000000B-020</v>
      </c>
      <c r="O26" s="477">
        <f t="shared" si="10"/>
        <v>14</v>
      </c>
      <c r="P26" s="478" t="str">
        <f>IFERROR(INDEX('1'!C$300:C$400,MATCH("*"&amp;F26&amp;"*",'1'!B$300:B$400,0)),"  ")</f>
        <v xml:space="preserve">  </v>
      </c>
      <c r="Q26" s="479">
        <f>IFERROR(INDEX('2'!C$300:C$400,MATCH("*"&amp;F26&amp;"*",'2'!B$300:B$400,0)),"  ")</f>
        <v>24</v>
      </c>
      <c r="R26" s="479" t="str">
        <f>IFERROR(INDEX('5'!C$300:C$400,MATCH("*"&amp;F26&amp;"*",'5'!B$300:B$400,0)),"  ")</f>
        <v xml:space="preserve">  </v>
      </c>
      <c r="S26" s="481">
        <f t="shared" si="11"/>
        <v>1</v>
      </c>
      <c r="T26" s="481">
        <f t="shared" si="12"/>
        <v>0</v>
      </c>
      <c r="U26" s="481">
        <f t="shared" si="13"/>
        <v>0</v>
      </c>
      <c r="V26" s="412"/>
    </row>
    <row r="27" spans="1:22" x14ac:dyDescent="0.2">
      <c r="A27" s="467">
        <f t="shared" si="0"/>
        <v>2</v>
      </c>
      <c r="B27" s="468">
        <f t="shared" si="1"/>
        <v>22</v>
      </c>
      <c r="C27" s="469" t="str">
        <f t="shared" si="2"/>
        <v/>
      </c>
      <c r="D27" s="470" t="str">
        <f t="shared" si="3"/>
        <v/>
      </c>
      <c r="E27" s="471">
        <f t="shared" si="4"/>
        <v>21</v>
      </c>
      <c r="F27" s="432" t="s">
        <v>253</v>
      </c>
      <c r="G27" s="472" t="s">
        <v>234</v>
      </c>
      <c r="H27" s="473"/>
      <c r="I27" s="474">
        <f t="shared" si="5"/>
        <v>22</v>
      </c>
      <c r="J27" s="475" t="str">
        <f>INDEX(ETAPP!B$1:B$32,MATCH(COUNTIF(P27:R27,PIV!A$1),ETAPP!A$1:A$32,0))&amp;INDEX(ETAPP!B$1:B$32,MATCH(COUNTIF(P27:R27,PIV!A$2),ETAPP!A$1:A$32,0))&amp;INDEX(ETAPP!B$1:B$32,MATCH(COUNTIF(P27:R27,PIV!A$3),ETAPP!A$1:A$32,0))&amp;INDEX(ETAPP!B$1:B$32,MATCH(COUNTIF(P27:R27,PIV!A$4),ETAPP!A$1:A$32,0))&amp;INDEX(ETAPP!B$1:B$32,MATCH(COUNTIF(P27:R27,PIV!A$5),ETAPP!A$1:A$32,0))&amp;INDEX(ETAPP!B$1:B$32,MATCH(COUNTIF(P27:R27,PIV!A$6),ETAPP!A$1:A$32,0))&amp;INDEX(ETAPP!B$1:B$32,MATCH(COUNTIF(P27:R27,PIV!A$7),ETAPP!A$1:A$32,0))&amp;INDEX(ETAPP!B$1:B$32,MATCH(COUNTIF(P27:R27,PIV!A$8),ETAPP!A$1:A$32,0))&amp;INDEX(ETAPP!B$1:B$32,MATCH(COUNTIF(P27:R27,PIV!A$9),ETAPP!A$1:A$32,0))&amp;INDEX(ETAPP!B$1:B$32,MATCH(COUNTIF(P27:R27,PIV!A$10),ETAPP!A$1:A$32,0))&amp;INDEX(ETAPP!B$1:B$32,MATCH(COUNTIF(P27:R27,PIV!A$11),ETAPP!A$1:A$32,0))&amp;INDEX(ETAPP!B$1:B$32,MATCH(COUNTIF(P27:R27,PIV!A$12),ETAPP!A$1:A$32,0))&amp;INDEX(ETAPP!B$1:B$32,MATCH(COUNTIF(P27:R27,PIV!A$13),ETAPP!A$1:A$32,0))&amp;INDEX(ETAPP!B$1:B$32,MATCH(COUNTIF(P27:R27,PIV!A$14),ETAPP!A$1:A$32,0))&amp;INDEX(ETAPP!B$1:B$32,MATCH(COUNTIF(P27:R27,PIV!A$15),ETAPP!A$1:A$32,0))&amp;INDEX(ETAPP!B$1:B$32,MATCH(COUNTIF(P27:R27,PIV!A$16),ETAPP!A$1:A$32,0))&amp;INDEX(ETAPP!B$1:B$32,MATCH(COUNTIF(P27:R27,PIV!A$17),ETAPP!A$1:A$32,0))&amp;INDEX(ETAPP!B$1:B$32,MATCH(COUNTIF(P27:R27,PIV!A$18),ETAPP!A$1:A$32,0))&amp;INDEX(ETAPP!B$1:B$32,MATCH(COUNTIF(P27:R27,PIV!A$19),ETAPP!A$1:A$32,0))</f>
        <v>00000A000000000000B</v>
      </c>
      <c r="K27" s="475" t="str">
        <f t="shared" si="6"/>
        <v>022,0-00000A000000000000B</v>
      </c>
      <c r="L27" s="476">
        <f t="shared" si="7"/>
        <v>22</v>
      </c>
      <c r="M27" s="476">
        <f t="shared" si="8"/>
        <v>16</v>
      </c>
      <c r="N27" s="475" t="str">
        <f t="shared" si="9"/>
        <v>022,0-00000A000000000000B-016</v>
      </c>
      <c r="O27" s="477">
        <f t="shared" si="10"/>
        <v>13</v>
      </c>
      <c r="P27" s="478">
        <f>IFERROR(INDEX('1'!C$300:C$400,MATCH("*"&amp;F27&amp;"*",'1'!B$300:B$400,0)),"  ")</f>
        <v>22</v>
      </c>
      <c r="Q27" s="479" t="str">
        <f>IFERROR(INDEX('2'!C$300:C$400,MATCH("*"&amp;F27&amp;"*",'2'!B$300:B$400,0)),"  ")</f>
        <v xml:space="preserve">  </v>
      </c>
      <c r="R27" s="479" t="str">
        <f>IFERROR(INDEX('5'!C$300:C$400,MATCH("*"&amp;F27&amp;"*",'5'!B$300:B$400,0)),"  ")</f>
        <v xml:space="preserve">  </v>
      </c>
      <c r="S27" s="481">
        <f t="shared" si="11"/>
        <v>1</v>
      </c>
      <c r="T27" s="481">
        <f t="shared" si="12"/>
        <v>0</v>
      </c>
      <c r="U27" s="481">
        <f t="shared" si="13"/>
        <v>0</v>
      </c>
      <c r="V27" s="412"/>
    </row>
    <row r="28" spans="1:22" x14ac:dyDescent="0.2">
      <c r="A28" s="467" t="str">
        <f t="shared" si="0"/>
        <v/>
      </c>
      <c r="B28" s="468" t="str">
        <f t="shared" si="1"/>
        <v/>
      </c>
      <c r="C28" s="469" t="str">
        <f t="shared" si="2"/>
        <v/>
      </c>
      <c r="D28" s="470" t="str">
        <f t="shared" si="3"/>
        <v/>
      </c>
      <c r="E28" s="471">
        <f t="shared" si="4"/>
        <v>21</v>
      </c>
      <c r="F28" s="432" t="s">
        <v>254</v>
      </c>
      <c r="G28" s="472"/>
      <c r="H28" s="473"/>
      <c r="I28" s="474">
        <f t="shared" si="5"/>
        <v>22</v>
      </c>
      <c r="J28" s="475" t="str">
        <f>INDEX(ETAPP!B$1:B$32,MATCH(COUNTIF(P28:R28,PIV!A$1),ETAPP!A$1:A$32,0))&amp;INDEX(ETAPP!B$1:B$32,MATCH(COUNTIF(P28:R28,PIV!A$2),ETAPP!A$1:A$32,0))&amp;INDEX(ETAPP!B$1:B$32,MATCH(COUNTIF(P28:R28,PIV!A$3),ETAPP!A$1:A$32,0))&amp;INDEX(ETAPP!B$1:B$32,MATCH(COUNTIF(P28:R28,PIV!A$4),ETAPP!A$1:A$32,0))&amp;INDEX(ETAPP!B$1:B$32,MATCH(COUNTIF(P28:R28,PIV!A$5),ETAPP!A$1:A$32,0))&amp;INDEX(ETAPP!B$1:B$32,MATCH(COUNTIF(P28:R28,PIV!A$6),ETAPP!A$1:A$32,0))&amp;INDEX(ETAPP!B$1:B$32,MATCH(COUNTIF(P28:R28,PIV!A$7),ETAPP!A$1:A$32,0))&amp;INDEX(ETAPP!B$1:B$32,MATCH(COUNTIF(P28:R28,PIV!A$8),ETAPP!A$1:A$32,0))&amp;INDEX(ETAPP!B$1:B$32,MATCH(COUNTIF(P28:R28,PIV!A$9),ETAPP!A$1:A$32,0))&amp;INDEX(ETAPP!B$1:B$32,MATCH(COUNTIF(P28:R28,PIV!A$10),ETAPP!A$1:A$32,0))&amp;INDEX(ETAPP!B$1:B$32,MATCH(COUNTIF(P28:R28,PIV!A$11),ETAPP!A$1:A$32,0))&amp;INDEX(ETAPP!B$1:B$32,MATCH(COUNTIF(P28:R28,PIV!A$12),ETAPP!A$1:A$32,0))&amp;INDEX(ETAPP!B$1:B$32,MATCH(COUNTIF(P28:R28,PIV!A$13),ETAPP!A$1:A$32,0))&amp;INDEX(ETAPP!B$1:B$32,MATCH(COUNTIF(P28:R28,PIV!A$14),ETAPP!A$1:A$32,0))&amp;INDEX(ETAPP!B$1:B$32,MATCH(COUNTIF(P28:R28,PIV!A$15),ETAPP!A$1:A$32,0))&amp;INDEX(ETAPP!B$1:B$32,MATCH(COUNTIF(P28:R28,PIV!A$16),ETAPP!A$1:A$32,0))&amp;INDEX(ETAPP!B$1:B$32,MATCH(COUNTIF(P28:R28,PIV!A$17),ETAPP!A$1:A$32,0))&amp;INDEX(ETAPP!B$1:B$32,MATCH(COUNTIF(P28:R28,PIV!A$18),ETAPP!A$1:A$32,0))&amp;INDEX(ETAPP!B$1:B$32,MATCH(COUNTIF(P28:R28,PIV!A$19),ETAPP!A$1:A$32,0))</f>
        <v>00000A000000000000B</v>
      </c>
      <c r="K28" s="475" t="str">
        <f t="shared" si="6"/>
        <v>022,0-00000A000000000000B</v>
      </c>
      <c r="L28" s="476">
        <f t="shared" si="7"/>
        <v>22</v>
      </c>
      <c r="M28" s="476">
        <f t="shared" si="8"/>
        <v>2</v>
      </c>
      <c r="N28" s="475" t="str">
        <f t="shared" si="9"/>
        <v>022,0-00000A000000000000B-002</v>
      </c>
      <c r="O28" s="477">
        <f t="shared" si="10"/>
        <v>12</v>
      </c>
      <c r="P28" s="478">
        <f>IFERROR(INDEX('1'!C$300:C$400,MATCH("*"&amp;F28&amp;"*",'1'!B$300:B$400,0)),"  ")</f>
        <v>22</v>
      </c>
      <c r="Q28" s="479" t="str">
        <f>IFERROR(INDEX('2'!C$300:C$400,MATCH("*"&amp;F28&amp;"*",'2'!B$300:B$400,0)),"  ")</f>
        <v xml:space="preserve">  </v>
      </c>
      <c r="R28" s="479" t="str">
        <f>IFERROR(INDEX('5'!C$300:C$400,MATCH("*"&amp;F28&amp;"*",'5'!B$300:B$400,0)),"  ")</f>
        <v xml:space="preserve">  </v>
      </c>
      <c r="S28" s="481">
        <f t="shared" si="11"/>
        <v>1</v>
      </c>
      <c r="T28" s="481">
        <f t="shared" si="12"/>
        <v>0</v>
      </c>
      <c r="U28" s="481">
        <f t="shared" si="13"/>
        <v>0</v>
      </c>
      <c r="V28" s="412"/>
    </row>
    <row r="29" spans="1:22" x14ac:dyDescent="0.2">
      <c r="A29" s="467" t="str">
        <f t="shared" si="0"/>
        <v/>
      </c>
      <c r="B29" s="468" t="str">
        <f t="shared" si="1"/>
        <v/>
      </c>
      <c r="C29" s="469" t="str">
        <f t="shared" si="2"/>
        <v/>
      </c>
      <c r="D29" s="470" t="str">
        <f t="shared" si="3"/>
        <v/>
      </c>
      <c r="E29" s="471">
        <f t="shared" si="4"/>
        <v>23</v>
      </c>
      <c r="F29" s="432" t="s">
        <v>227</v>
      </c>
      <c r="G29" s="472"/>
      <c r="H29" s="473"/>
      <c r="I29" s="474">
        <f t="shared" si="5"/>
        <v>21</v>
      </c>
      <c r="J29" s="475" t="str">
        <f>INDEX(ETAPP!B$1:B$32,MATCH(COUNTIF(P29:R29,PIV!A$1),ETAPP!A$1:A$32,0))&amp;INDEX(ETAPP!B$1:B$32,MATCH(COUNTIF(P29:R29,PIV!A$2),ETAPP!A$1:A$32,0))&amp;INDEX(ETAPP!B$1:B$32,MATCH(COUNTIF(P29:R29,PIV!A$3),ETAPP!A$1:A$32,0))&amp;INDEX(ETAPP!B$1:B$32,MATCH(COUNTIF(P29:R29,PIV!A$4),ETAPP!A$1:A$32,0))&amp;INDEX(ETAPP!B$1:B$32,MATCH(COUNTIF(P29:R29,PIV!A$5),ETAPP!A$1:A$32,0))&amp;INDEX(ETAPP!B$1:B$32,MATCH(COUNTIF(P29:R29,PIV!A$6),ETAPP!A$1:A$32,0))&amp;INDEX(ETAPP!B$1:B$32,MATCH(COUNTIF(P29:R29,PIV!A$7),ETAPP!A$1:A$32,0))&amp;INDEX(ETAPP!B$1:B$32,MATCH(COUNTIF(P29:R29,PIV!A$8),ETAPP!A$1:A$32,0))&amp;INDEX(ETAPP!B$1:B$32,MATCH(COUNTIF(P29:R29,PIV!A$9),ETAPP!A$1:A$32,0))&amp;INDEX(ETAPP!B$1:B$32,MATCH(COUNTIF(P29:R29,PIV!A$10),ETAPP!A$1:A$32,0))&amp;INDEX(ETAPP!B$1:B$32,MATCH(COUNTIF(P29:R29,PIV!A$11),ETAPP!A$1:A$32,0))&amp;INDEX(ETAPP!B$1:B$32,MATCH(COUNTIF(P29:R29,PIV!A$12),ETAPP!A$1:A$32,0))&amp;INDEX(ETAPP!B$1:B$32,MATCH(COUNTIF(P29:R29,PIV!A$13),ETAPP!A$1:A$32,0))&amp;INDEX(ETAPP!B$1:B$32,MATCH(COUNTIF(P29:R29,PIV!A$14),ETAPP!A$1:A$32,0))&amp;INDEX(ETAPP!B$1:B$32,MATCH(COUNTIF(P29:R29,PIV!A$15),ETAPP!A$1:A$32,0))&amp;INDEX(ETAPP!B$1:B$32,MATCH(COUNTIF(P29:R29,PIV!A$16),ETAPP!A$1:A$32,0))&amp;INDEX(ETAPP!B$1:B$32,MATCH(COUNTIF(P29:R29,PIV!A$17),ETAPP!A$1:A$32,0))&amp;INDEX(ETAPP!B$1:B$32,MATCH(COUNTIF(P29:R29,PIV!A$18),ETAPP!A$1:A$32,0))&amp;INDEX(ETAPP!B$1:B$32,MATCH(COUNTIF(P29:R29,PIV!A$19),ETAPP!A$1:A$32,0))</f>
        <v>000000A000000000A0A</v>
      </c>
      <c r="K29" s="475" t="str">
        <f t="shared" si="6"/>
        <v>021,0-000000A000000000A0A</v>
      </c>
      <c r="L29" s="476">
        <f t="shared" si="7"/>
        <v>23</v>
      </c>
      <c r="M29" s="476">
        <f t="shared" si="8"/>
        <v>31</v>
      </c>
      <c r="N29" s="475" t="str">
        <f t="shared" si="9"/>
        <v>021,0-000000A000000000A0A-031</v>
      </c>
      <c r="O29" s="477">
        <f t="shared" si="10"/>
        <v>11</v>
      </c>
      <c r="P29" s="478" t="str">
        <f>IFERROR(INDEX('1'!C$300:C$400,MATCH("*"&amp;F29&amp;"*",'1'!B$300:B$400,0)),"  ")</f>
        <v xml:space="preserve">  </v>
      </c>
      <c r="Q29" s="479">
        <f>IFERROR(INDEX('2'!C$300:C$400,MATCH("*"&amp;F29&amp;"*",'2'!B$300:B$400,0)),"  ")</f>
        <v>20</v>
      </c>
      <c r="R29" s="479">
        <f>IFERROR(INDEX('5'!C$300:C$400,MATCH("*"&amp;F29&amp;"*",'5'!B$300:B$400,0)),"  ")</f>
        <v>1</v>
      </c>
      <c r="S29" s="481">
        <f t="shared" si="11"/>
        <v>2</v>
      </c>
      <c r="T29" s="481">
        <f t="shared" si="12"/>
        <v>0</v>
      </c>
      <c r="U29" s="481">
        <f t="shared" si="13"/>
        <v>0</v>
      </c>
      <c r="V29" s="412"/>
    </row>
    <row r="30" spans="1:22" x14ac:dyDescent="0.2">
      <c r="A30" s="467" t="str">
        <f t="shared" si="0"/>
        <v/>
      </c>
      <c r="B30" s="468" t="str">
        <f t="shared" si="1"/>
        <v/>
      </c>
      <c r="C30" s="469" t="str">
        <f t="shared" si="2"/>
        <v/>
      </c>
      <c r="D30" s="470" t="str">
        <f t="shared" si="3"/>
        <v/>
      </c>
      <c r="E30" s="471">
        <f t="shared" si="4"/>
        <v>24</v>
      </c>
      <c r="F30" s="432" t="s">
        <v>267</v>
      </c>
      <c r="G30" s="472"/>
      <c r="H30" s="473"/>
      <c r="I30" s="474">
        <f t="shared" si="5"/>
        <v>20</v>
      </c>
      <c r="J30" s="475" t="str">
        <f>INDEX(ETAPP!B$1:B$32,MATCH(COUNTIF(P30:R30,PIV!A$1),ETAPP!A$1:A$32,0))&amp;INDEX(ETAPP!B$1:B$32,MATCH(COUNTIF(P30:R30,PIV!A$2),ETAPP!A$1:A$32,0))&amp;INDEX(ETAPP!B$1:B$32,MATCH(COUNTIF(P30:R30,PIV!A$3),ETAPP!A$1:A$32,0))&amp;INDEX(ETAPP!B$1:B$32,MATCH(COUNTIF(P30:R30,PIV!A$4),ETAPP!A$1:A$32,0))&amp;INDEX(ETAPP!B$1:B$32,MATCH(COUNTIF(P30:R30,PIV!A$5),ETAPP!A$1:A$32,0))&amp;INDEX(ETAPP!B$1:B$32,MATCH(COUNTIF(P30:R30,PIV!A$6),ETAPP!A$1:A$32,0))&amp;INDEX(ETAPP!B$1:B$32,MATCH(COUNTIF(P30:R30,PIV!A$7),ETAPP!A$1:A$32,0))&amp;INDEX(ETAPP!B$1:B$32,MATCH(COUNTIF(P30:R30,PIV!A$8),ETAPP!A$1:A$32,0))&amp;INDEX(ETAPP!B$1:B$32,MATCH(COUNTIF(P30:R30,PIV!A$9),ETAPP!A$1:A$32,0))&amp;INDEX(ETAPP!B$1:B$32,MATCH(COUNTIF(P30:R30,PIV!A$10),ETAPP!A$1:A$32,0))&amp;INDEX(ETAPP!B$1:B$32,MATCH(COUNTIF(P30:R30,PIV!A$11),ETAPP!A$1:A$32,0))&amp;INDEX(ETAPP!B$1:B$32,MATCH(COUNTIF(P30:R30,PIV!A$12),ETAPP!A$1:A$32,0))&amp;INDEX(ETAPP!B$1:B$32,MATCH(COUNTIF(P30:R30,PIV!A$13),ETAPP!A$1:A$32,0))&amp;INDEX(ETAPP!B$1:B$32,MATCH(COUNTIF(P30:R30,PIV!A$14),ETAPP!A$1:A$32,0))&amp;INDEX(ETAPP!B$1:B$32,MATCH(COUNTIF(P30:R30,PIV!A$15),ETAPP!A$1:A$32,0))&amp;INDEX(ETAPP!B$1:B$32,MATCH(COUNTIF(P30:R30,PIV!A$16),ETAPP!A$1:A$32,0))&amp;INDEX(ETAPP!B$1:B$32,MATCH(COUNTIF(P30:R30,PIV!A$17),ETAPP!A$1:A$32,0))&amp;INDEX(ETAPP!B$1:B$32,MATCH(COUNTIF(P30:R30,PIV!A$18),ETAPP!A$1:A$32,0))&amp;INDEX(ETAPP!B$1:B$32,MATCH(COUNTIF(P30:R30,PIV!A$19),ETAPP!A$1:A$32,0))</f>
        <v>000000A00000000000B</v>
      </c>
      <c r="K30" s="475" t="str">
        <f t="shared" si="6"/>
        <v>020,0-000000A00000000000B</v>
      </c>
      <c r="L30" s="476">
        <f t="shared" si="7"/>
        <v>25</v>
      </c>
      <c r="M30" s="476">
        <f t="shared" si="8"/>
        <v>27</v>
      </c>
      <c r="N30" s="475" t="str">
        <f t="shared" si="9"/>
        <v>020,0-000000A00000000000B-027</v>
      </c>
      <c r="O30" s="477">
        <f t="shared" si="10"/>
        <v>10</v>
      </c>
      <c r="P30" s="478" t="str">
        <f>IFERROR(INDEX('1'!C$300:C$400,MATCH("*"&amp;F30&amp;"*",'1'!B$300:B$400,0)),"  ")</f>
        <v xml:space="preserve">  </v>
      </c>
      <c r="Q30" s="479" t="str">
        <f>IFERROR(INDEX('2'!C$300:C$400,MATCH("*"&amp;F30&amp;"*",'2'!B$300:B$400,0)),"  ")</f>
        <v xml:space="preserve">  </v>
      </c>
      <c r="R30" s="479">
        <f>IFERROR(INDEX('5'!C$300:C$400,MATCH("*"&amp;F30&amp;"*",'5'!B$300:B$400,0)),"  ")</f>
        <v>20</v>
      </c>
      <c r="S30" s="481">
        <f t="shared" si="11"/>
        <v>1</v>
      </c>
      <c r="T30" s="481">
        <f t="shared" si="12"/>
        <v>0</v>
      </c>
      <c r="U30" s="481">
        <f t="shared" si="13"/>
        <v>0</v>
      </c>
      <c r="V30" s="412"/>
    </row>
    <row r="31" spans="1:22" x14ac:dyDescent="0.2">
      <c r="A31" s="467">
        <f t="shared" si="0"/>
        <v>3</v>
      </c>
      <c r="B31" s="468">
        <f t="shared" si="1"/>
        <v>25</v>
      </c>
      <c r="C31" s="469" t="str">
        <f t="shared" si="2"/>
        <v/>
      </c>
      <c r="D31" s="470" t="str">
        <f t="shared" si="3"/>
        <v/>
      </c>
      <c r="E31" s="471">
        <f t="shared" si="4"/>
        <v>24</v>
      </c>
      <c r="F31" s="484" t="s">
        <v>233</v>
      </c>
      <c r="G31" s="472" t="s">
        <v>234</v>
      </c>
      <c r="H31" s="473"/>
      <c r="I31" s="474">
        <f t="shared" si="5"/>
        <v>20</v>
      </c>
      <c r="J31" s="475" t="str">
        <f>INDEX(ETAPP!B$1:B$32,MATCH(COUNTIF(P31:R31,PIV!A$1),ETAPP!A$1:A$32,0))&amp;INDEX(ETAPP!B$1:B$32,MATCH(COUNTIF(P31:R31,PIV!A$2),ETAPP!A$1:A$32,0))&amp;INDEX(ETAPP!B$1:B$32,MATCH(COUNTIF(P31:R31,PIV!A$3),ETAPP!A$1:A$32,0))&amp;INDEX(ETAPP!B$1:B$32,MATCH(COUNTIF(P31:R31,PIV!A$4),ETAPP!A$1:A$32,0))&amp;INDEX(ETAPP!B$1:B$32,MATCH(COUNTIF(P31:R31,PIV!A$5),ETAPP!A$1:A$32,0))&amp;INDEX(ETAPP!B$1:B$32,MATCH(COUNTIF(P31:R31,PIV!A$6),ETAPP!A$1:A$32,0))&amp;INDEX(ETAPP!B$1:B$32,MATCH(COUNTIF(P31:R31,PIV!A$7),ETAPP!A$1:A$32,0))&amp;INDEX(ETAPP!B$1:B$32,MATCH(COUNTIF(P31:R31,PIV!A$8),ETAPP!A$1:A$32,0))&amp;INDEX(ETAPP!B$1:B$32,MATCH(COUNTIF(P31:R31,PIV!A$9),ETAPP!A$1:A$32,0))&amp;INDEX(ETAPP!B$1:B$32,MATCH(COUNTIF(P31:R31,PIV!A$10),ETAPP!A$1:A$32,0))&amp;INDEX(ETAPP!B$1:B$32,MATCH(COUNTIF(P31:R31,PIV!A$11),ETAPP!A$1:A$32,0))&amp;INDEX(ETAPP!B$1:B$32,MATCH(COUNTIF(P31:R31,PIV!A$12),ETAPP!A$1:A$32,0))&amp;INDEX(ETAPP!B$1:B$32,MATCH(COUNTIF(P31:R31,PIV!A$13),ETAPP!A$1:A$32,0))&amp;INDEX(ETAPP!B$1:B$32,MATCH(COUNTIF(P31:R31,PIV!A$14),ETAPP!A$1:A$32,0))&amp;INDEX(ETAPP!B$1:B$32,MATCH(COUNTIF(P31:R31,PIV!A$15),ETAPP!A$1:A$32,0))&amp;INDEX(ETAPP!B$1:B$32,MATCH(COUNTIF(P31:R31,PIV!A$16),ETAPP!A$1:A$32,0))&amp;INDEX(ETAPP!B$1:B$32,MATCH(COUNTIF(P31:R31,PIV!A$17),ETAPP!A$1:A$32,0))&amp;INDEX(ETAPP!B$1:B$32,MATCH(COUNTIF(P31:R31,PIV!A$18),ETAPP!A$1:A$32,0))&amp;INDEX(ETAPP!B$1:B$32,MATCH(COUNTIF(P31:R31,PIV!A$19),ETAPP!A$1:A$32,0))</f>
        <v>000000A00000000000B</v>
      </c>
      <c r="K31" s="475" t="str">
        <f t="shared" si="6"/>
        <v>020,0-000000A00000000000B</v>
      </c>
      <c r="L31" s="476">
        <f t="shared" si="7"/>
        <v>25</v>
      </c>
      <c r="M31" s="476">
        <f t="shared" si="8"/>
        <v>7</v>
      </c>
      <c r="N31" s="475" t="str">
        <f t="shared" si="9"/>
        <v>020,0-000000A00000000000B-007</v>
      </c>
      <c r="O31" s="477">
        <f t="shared" si="10"/>
        <v>9</v>
      </c>
      <c r="P31" s="478" t="str">
        <f>IFERROR(INDEX('1'!C$300:C$400,MATCH("*"&amp;F31&amp;"*",'1'!B$300:B$400,0)),"  ")</f>
        <v xml:space="preserve">  </v>
      </c>
      <c r="Q31" s="479">
        <f>IFERROR(INDEX('2'!C$300:C$400,MATCH("*"&amp;F31&amp;"*",'2'!B$300:B$400,0)),"  ")</f>
        <v>20</v>
      </c>
      <c r="R31" s="479" t="str">
        <f>IFERROR(INDEX('5'!C$300:C$400,MATCH("*"&amp;F31&amp;"*",'5'!B$300:B$400,0)),"  ")</f>
        <v xml:space="preserve">  </v>
      </c>
      <c r="S31" s="481">
        <f t="shared" si="11"/>
        <v>1</v>
      </c>
      <c r="T31" s="481">
        <f t="shared" si="12"/>
        <v>0</v>
      </c>
      <c r="U31" s="481">
        <f t="shared" si="13"/>
        <v>0</v>
      </c>
      <c r="V31" s="412"/>
    </row>
    <row r="32" spans="1:22" x14ac:dyDescent="0.2">
      <c r="A32" s="467" t="str">
        <f t="shared" si="0"/>
        <v/>
      </c>
      <c r="B32" s="468" t="str">
        <f t="shared" si="1"/>
        <v/>
      </c>
      <c r="C32" s="469" t="str">
        <f t="shared" si="2"/>
        <v/>
      </c>
      <c r="D32" s="470" t="str">
        <f t="shared" si="3"/>
        <v/>
      </c>
      <c r="E32" s="471">
        <f t="shared" si="4"/>
        <v>26</v>
      </c>
      <c r="F32" s="484" t="s">
        <v>15</v>
      </c>
      <c r="G32" s="472"/>
      <c r="H32" s="473"/>
      <c r="I32" s="474">
        <f t="shared" si="5"/>
        <v>16</v>
      </c>
      <c r="J32" s="475" t="str">
        <f>INDEX(ETAPP!B$1:B$32,MATCH(COUNTIF(P32:R32,PIV!A$1),ETAPP!A$1:A$32,0))&amp;INDEX(ETAPP!B$1:B$32,MATCH(COUNTIF(P32:R32,PIV!A$2),ETAPP!A$1:A$32,0))&amp;INDEX(ETAPP!B$1:B$32,MATCH(COUNTIF(P32:R32,PIV!A$3),ETAPP!A$1:A$32,0))&amp;INDEX(ETAPP!B$1:B$32,MATCH(COUNTIF(P32:R32,PIV!A$4),ETAPP!A$1:A$32,0))&amp;INDEX(ETAPP!B$1:B$32,MATCH(COUNTIF(P32:R32,PIV!A$5),ETAPP!A$1:A$32,0))&amp;INDEX(ETAPP!B$1:B$32,MATCH(COUNTIF(P32:R32,PIV!A$6),ETAPP!A$1:A$32,0))&amp;INDEX(ETAPP!B$1:B$32,MATCH(COUNTIF(P32:R32,PIV!A$7),ETAPP!A$1:A$32,0))&amp;INDEX(ETAPP!B$1:B$32,MATCH(COUNTIF(P32:R32,PIV!A$8),ETAPP!A$1:A$32,0))&amp;INDEX(ETAPP!B$1:B$32,MATCH(COUNTIF(P32:R32,PIV!A$9),ETAPP!A$1:A$32,0))&amp;INDEX(ETAPP!B$1:B$32,MATCH(COUNTIF(P32:R32,PIV!A$10),ETAPP!A$1:A$32,0))&amp;INDEX(ETAPP!B$1:B$32,MATCH(COUNTIF(P32:R32,PIV!A$11),ETAPP!A$1:A$32,0))&amp;INDEX(ETAPP!B$1:B$32,MATCH(COUNTIF(P32:R32,PIV!A$12),ETAPP!A$1:A$32,0))&amp;INDEX(ETAPP!B$1:B$32,MATCH(COUNTIF(P32:R32,PIV!A$13),ETAPP!A$1:A$32,0))&amp;INDEX(ETAPP!B$1:B$32,MATCH(COUNTIF(P32:R32,PIV!A$14),ETAPP!A$1:A$32,0))&amp;INDEX(ETAPP!B$1:B$32,MATCH(COUNTIF(P32:R32,PIV!A$15),ETAPP!A$1:A$32,0))&amp;INDEX(ETAPP!B$1:B$32,MATCH(COUNTIF(P32:R32,PIV!A$16),ETAPP!A$1:A$32,0))&amp;INDEX(ETAPP!B$1:B$32,MATCH(COUNTIF(P32:R32,PIV!A$17),ETAPP!A$1:A$32,0))&amp;INDEX(ETAPP!B$1:B$32,MATCH(COUNTIF(P32:R32,PIV!A$18),ETAPP!A$1:A$32,0))&amp;INDEX(ETAPP!B$1:B$32,MATCH(COUNTIF(P32:R32,PIV!A$19),ETAPP!A$1:A$32,0))</f>
        <v>00000000A000000000B</v>
      </c>
      <c r="K32" s="475" t="str">
        <f t="shared" si="6"/>
        <v>016,0-00000000A000000000B</v>
      </c>
      <c r="L32" s="476">
        <f t="shared" si="7"/>
        <v>27</v>
      </c>
      <c r="M32" s="476">
        <f t="shared" si="8"/>
        <v>22</v>
      </c>
      <c r="N32" s="475" t="str">
        <f t="shared" si="9"/>
        <v>016,0-00000000A000000000B-022</v>
      </c>
      <c r="O32" s="477">
        <f t="shared" si="10"/>
        <v>8</v>
      </c>
      <c r="P32" s="478" t="str">
        <f>IFERROR(INDEX('1'!C$300:C$400,MATCH("*"&amp;F32&amp;"*",'1'!B$300:B$400,0)),"  ")</f>
        <v xml:space="preserve">  </v>
      </c>
      <c r="Q32" s="479">
        <f>IFERROR(INDEX('2'!C$300:C$400,MATCH("*"&amp;F32&amp;"*",'2'!B$300:B$400,0)),"  ")</f>
        <v>16</v>
      </c>
      <c r="R32" s="479" t="str">
        <f>IFERROR(INDEX('5'!C$300:C$400,MATCH("*"&amp;F32&amp;"*",'5'!B$300:B$400,0)),"  ")</f>
        <v xml:space="preserve">  </v>
      </c>
      <c r="S32" s="481">
        <f t="shared" si="11"/>
        <v>1</v>
      </c>
      <c r="T32" s="481">
        <f t="shared" si="12"/>
        <v>0</v>
      </c>
      <c r="U32" s="481">
        <f t="shared" si="13"/>
        <v>0</v>
      </c>
      <c r="V32" s="412"/>
    </row>
    <row r="33" spans="1:22" x14ac:dyDescent="0.2">
      <c r="A33" s="467" t="str">
        <f t="shared" si="0"/>
        <v/>
      </c>
      <c r="B33" s="468" t="str">
        <f t="shared" si="1"/>
        <v/>
      </c>
      <c r="C33" s="469" t="str">
        <f t="shared" si="2"/>
        <v/>
      </c>
      <c r="D33" s="470" t="str">
        <f t="shared" si="3"/>
        <v/>
      </c>
      <c r="E33" s="471">
        <f t="shared" si="4"/>
        <v>26</v>
      </c>
      <c r="F33" s="487" t="s">
        <v>260</v>
      </c>
      <c r="G33" s="472"/>
      <c r="H33" s="473"/>
      <c r="I33" s="474">
        <f t="shared" si="5"/>
        <v>16</v>
      </c>
      <c r="J33" s="475" t="str">
        <f>INDEX(ETAPP!B$1:B$32,MATCH(COUNTIF(P33:R33,PIV!A$1),ETAPP!A$1:A$32,0))&amp;INDEX(ETAPP!B$1:B$32,MATCH(COUNTIF(P33:R33,PIV!A$2),ETAPP!A$1:A$32,0))&amp;INDEX(ETAPP!B$1:B$32,MATCH(COUNTIF(P33:R33,PIV!A$3),ETAPP!A$1:A$32,0))&amp;INDEX(ETAPP!B$1:B$32,MATCH(COUNTIF(P33:R33,PIV!A$4),ETAPP!A$1:A$32,0))&amp;INDEX(ETAPP!B$1:B$32,MATCH(COUNTIF(P33:R33,PIV!A$5),ETAPP!A$1:A$32,0))&amp;INDEX(ETAPP!B$1:B$32,MATCH(COUNTIF(P33:R33,PIV!A$6),ETAPP!A$1:A$32,0))&amp;INDEX(ETAPP!B$1:B$32,MATCH(COUNTIF(P33:R33,PIV!A$7),ETAPP!A$1:A$32,0))&amp;INDEX(ETAPP!B$1:B$32,MATCH(COUNTIF(P33:R33,PIV!A$8),ETAPP!A$1:A$32,0))&amp;INDEX(ETAPP!B$1:B$32,MATCH(COUNTIF(P33:R33,PIV!A$9),ETAPP!A$1:A$32,0))&amp;INDEX(ETAPP!B$1:B$32,MATCH(COUNTIF(P33:R33,PIV!A$10),ETAPP!A$1:A$32,0))&amp;INDEX(ETAPP!B$1:B$32,MATCH(COUNTIF(P33:R33,PIV!A$11),ETAPP!A$1:A$32,0))&amp;INDEX(ETAPP!B$1:B$32,MATCH(COUNTIF(P33:R33,PIV!A$12),ETAPP!A$1:A$32,0))&amp;INDEX(ETAPP!B$1:B$32,MATCH(COUNTIF(P33:R33,PIV!A$13),ETAPP!A$1:A$32,0))&amp;INDEX(ETAPP!B$1:B$32,MATCH(COUNTIF(P33:R33,PIV!A$14),ETAPP!A$1:A$32,0))&amp;INDEX(ETAPP!B$1:B$32,MATCH(COUNTIF(P33:R33,PIV!A$15),ETAPP!A$1:A$32,0))&amp;INDEX(ETAPP!B$1:B$32,MATCH(COUNTIF(P33:R33,PIV!A$16),ETAPP!A$1:A$32,0))&amp;INDEX(ETAPP!B$1:B$32,MATCH(COUNTIF(P33:R33,PIV!A$17),ETAPP!A$1:A$32,0))&amp;INDEX(ETAPP!B$1:B$32,MATCH(COUNTIF(P33:R33,PIV!A$18),ETAPP!A$1:A$32,0))&amp;INDEX(ETAPP!B$1:B$32,MATCH(COUNTIF(P33:R33,PIV!A$19),ETAPP!A$1:A$32,0))</f>
        <v>00000000A000000000B</v>
      </c>
      <c r="K33" s="475" t="str">
        <f t="shared" si="6"/>
        <v>016,0-00000000A000000000B</v>
      </c>
      <c r="L33" s="476">
        <f t="shared" si="7"/>
        <v>27</v>
      </c>
      <c r="M33" s="476">
        <f t="shared" si="8"/>
        <v>4</v>
      </c>
      <c r="N33" s="475" t="str">
        <f t="shared" si="9"/>
        <v>016,0-00000000A000000000B-004</v>
      </c>
      <c r="O33" s="477">
        <f t="shared" si="10"/>
        <v>7</v>
      </c>
      <c r="P33" s="478" t="str">
        <f>IFERROR(INDEX('1'!C$300:C$400,MATCH("*"&amp;F33&amp;"*",'1'!B$300:B$400,0)),"  ")</f>
        <v xml:space="preserve">  </v>
      </c>
      <c r="Q33" s="479">
        <f>IFERROR(INDEX('2'!C$300:C$400,MATCH("*"&amp;F33&amp;"*",'2'!B$300:B$400,0)),"  ")</f>
        <v>16</v>
      </c>
      <c r="R33" s="479" t="str">
        <f>IFERROR(INDEX('5'!C$300:C$400,MATCH("*"&amp;F33&amp;"*",'5'!B$300:B$400,0)),"  ")</f>
        <v xml:space="preserve">  </v>
      </c>
      <c r="S33" s="481">
        <f t="shared" si="11"/>
        <v>1</v>
      </c>
      <c r="T33" s="481">
        <f t="shared" si="12"/>
        <v>0</v>
      </c>
      <c r="U33" s="481">
        <f t="shared" si="13"/>
        <v>0</v>
      </c>
      <c r="V33" s="493"/>
    </row>
    <row r="34" spans="1:22" x14ac:dyDescent="0.2">
      <c r="A34" s="467">
        <f t="shared" si="0"/>
        <v>4</v>
      </c>
      <c r="B34" s="468">
        <f t="shared" si="1"/>
        <v>28</v>
      </c>
      <c r="C34" s="469" t="str">
        <f t="shared" si="2"/>
        <v/>
      </c>
      <c r="D34" s="470" t="str">
        <f t="shared" si="3"/>
        <v/>
      </c>
      <c r="E34" s="471">
        <f t="shared" si="4"/>
        <v>28</v>
      </c>
      <c r="F34" s="485" t="s">
        <v>242</v>
      </c>
      <c r="G34" s="472" t="s">
        <v>234</v>
      </c>
      <c r="H34" s="473"/>
      <c r="I34" s="474">
        <f t="shared" si="5"/>
        <v>15</v>
      </c>
      <c r="J34" s="475" t="str">
        <f>INDEX(ETAPP!B$1:B$32,MATCH(COUNTIF(P34:R34,PIV!A$1),ETAPP!A$1:A$32,0))&amp;INDEX(ETAPP!B$1:B$32,MATCH(COUNTIF(P34:R34,PIV!A$2),ETAPP!A$1:A$32,0))&amp;INDEX(ETAPP!B$1:B$32,MATCH(COUNTIF(P34:R34,PIV!A$3),ETAPP!A$1:A$32,0))&amp;INDEX(ETAPP!B$1:B$32,MATCH(COUNTIF(P34:R34,PIV!A$4),ETAPP!A$1:A$32,0))&amp;INDEX(ETAPP!B$1:B$32,MATCH(COUNTIF(P34:R34,PIV!A$5),ETAPP!A$1:A$32,0))&amp;INDEX(ETAPP!B$1:B$32,MATCH(COUNTIF(P34:R34,PIV!A$6),ETAPP!A$1:A$32,0))&amp;INDEX(ETAPP!B$1:B$32,MATCH(COUNTIF(P34:R34,PIV!A$7),ETAPP!A$1:A$32,0))&amp;INDEX(ETAPP!B$1:B$32,MATCH(COUNTIF(P34:R34,PIV!A$8),ETAPP!A$1:A$32,0))&amp;INDEX(ETAPP!B$1:B$32,MATCH(COUNTIF(P34:R34,PIV!A$9),ETAPP!A$1:A$32,0))&amp;INDEX(ETAPP!B$1:B$32,MATCH(COUNTIF(P34:R34,PIV!A$10),ETAPP!A$1:A$32,0))&amp;INDEX(ETAPP!B$1:B$32,MATCH(COUNTIF(P34:R34,PIV!A$11),ETAPP!A$1:A$32,0))&amp;INDEX(ETAPP!B$1:B$32,MATCH(COUNTIF(P34:R34,PIV!A$12),ETAPP!A$1:A$32,0))&amp;INDEX(ETAPP!B$1:B$32,MATCH(COUNTIF(P34:R34,PIV!A$13),ETAPP!A$1:A$32,0))&amp;INDEX(ETAPP!B$1:B$32,MATCH(COUNTIF(P34:R34,PIV!A$14),ETAPP!A$1:A$32,0))&amp;INDEX(ETAPP!B$1:B$32,MATCH(COUNTIF(P34:R34,PIV!A$15),ETAPP!A$1:A$32,0))&amp;INDEX(ETAPP!B$1:B$32,MATCH(COUNTIF(P34:R34,PIV!A$16),ETAPP!A$1:A$32,0))&amp;INDEX(ETAPP!B$1:B$32,MATCH(COUNTIF(P34:R34,PIV!A$17),ETAPP!A$1:A$32,0))&amp;INDEX(ETAPP!B$1:B$32,MATCH(COUNTIF(P34:R34,PIV!A$18),ETAPP!A$1:A$32,0))&amp;INDEX(ETAPP!B$1:B$32,MATCH(COUNTIF(P34:R34,PIV!A$19),ETAPP!A$1:A$32,0))</f>
        <v>000000000A000000A0A</v>
      </c>
      <c r="K34" s="475" t="str">
        <f t="shared" si="6"/>
        <v>015,0-000000000A000000A0A</v>
      </c>
      <c r="L34" s="476">
        <f t="shared" si="7"/>
        <v>28</v>
      </c>
      <c r="M34" s="476">
        <f t="shared" si="8"/>
        <v>11</v>
      </c>
      <c r="N34" s="475" t="str">
        <f t="shared" si="9"/>
        <v>015,0-000000000A000000A0A-011</v>
      </c>
      <c r="O34" s="477">
        <f t="shared" si="10"/>
        <v>6</v>
      </c>
      <c r="P34" s="478" t="str">
        <f>IFERROR(INDEX('1'!C$300:C$400,MATCH("*"&amp;F34&amp;"*",'1'!B$300:B$400,0)),"  ")</f>
        <v xml:space="preserve">  </v>
      </c>
      <c r="Q34" s="479">
        <f>IFERROR(INDEX('2'!C$300:C$400,MATCH("*"&amp;F34&amp;"*",'2'!B$300:B$400,0)),"  ")</f>
        <v>14</v>
      </c>
      <c r="R34" s="479">
        <f>IFERROR(INDEX('5'!C$300:C$400,MATCH("*"&amp;F34&amp;"*",'5'!B$300:B$400,0)),"  ")</f>
        <v>1</v>
      </c>
      <c r="S34" s="481">
        <f t="shared" si="11"/>
        <v>2</v>
      </c>
      <c r="T34" s="481">
        <f t="shared" si="12"/>
        <v>0</v>
      </c>
      <c r="U34" s="481">
        <f t="shared" si="13"/>
        <v>0</v>
      </c>
      <c r="V34" s="412"/>
    </row>
    <row r="35" spans="1:22" x14ac:dyDescent="0.2">
      <c r="A35" s="467" t="str">
        <f t="shared" si="0"/>
        <v/>
      </c>
      <c r="B35" s="468" t="str">
        <f t="shared" si="1"/>
        <v/>
      </c>
      <c r="C35" s="469" t="str">
        <f t="shared" si="2"/>
        <v/>
      </c>
      <c r="D35" s="470" t="str">
        <f t="shared" si="3"/>
        <v/>
      </c>
      <c r="E35" s="471">
        <f t="shared" si="4"/>
        <v>29</v>
      </c>
      <c r="F35" s="487" t="s">
        <v>255</v>
      </c>
      <c r="G35" s="472"/>
      <c r="H35" s="473"/>
      <c r="I35" s="474">
        <f t="shared" si="5"/>
        <v>12</v>
      </c>
      <c r="J35" s="475" t="str">
        <f>INDEX(ETAPP!B$1:B$32,MATCH(COUNTIF(P35:R35,PIV!A$1),ETAPP!A$1:A$32,0))&amp;INDEX(ETAPP!B$1:B$32,MATCH(COUNTIF(P35:R35,PIV!A$2),ETAPP!A$1:A$32,0))&amp;INDEX(ETAPP!B$1:B$32,MATCH(COUNTIF(P35:R35,PIV!A$3),ETAPP!A$1:A$32,0))&amp;INDEX(ETAPP!B$1:B$32,MATCH(COUNTIF(P35:R35,PIV!A$4),ETAPP!A$1:A$32,0))&amp;INDEX(ETAPP!B$1:B$32,MATCH(COUNTIF(P35:R35,PIV!A$5),ETAPP!A$1:A$32,0))&amp;INDEX(ETAPP!B$1:B$32,MATCH(COUNTIF(P35:R35,PIV!A$6),ETAPP!A$1:A$32,0))&amp;INDEX(ETAPP!B$1:B$32,MATCH(COUNTIF(P35:R35,PIV!A$7),ETAPP!A$1:A$32,0))&amp;INDEX(ETAPP!B$1:B$32,MATCH(COUNTIF(P35:R35,PIV!A$8),ETAPP!A$1:A$32,0))&amp;INDEX(ETAPP!B$1:B$32,MATCH(COUNTIF(P35:R35,PIV!A$9),ETAPP!A$1:A$32,0))&amp;INDEX(ETAPP!B$1:B$32,MATCH(COUNTIF(P35:R35,PIV!A$10),ETAPP!A$1:A$32,0))&amp;INDEX(ETAPP!B$1:B$32,MATCH(COUNTIF(P35:R35,PIV!A$11),ETAPP!A$1:A$32,0))&amp;INDEX(ETAPP!B$1:B$32,MATCH(COUNTIF(P35:R35,PIV!A$12),ETAPP!A$1:A$32,0))&amp;INDEX(ETAPP!B$1:B$32,MATCH(COUNTIF(P35:R35,PIV!A$13),ETAPP!A$1:A$32,0))&amp;INDEX(ETAPP!B$1:B$32,MATCH(COUNTIF(P35:R35,PIV!A$14),ETAPP!A$1:A$32,0))&amp;INDEX(ETAPP!B$1:B$32,MATCH(COUNTIF(P35:R35,PIV!A$15),ETAPP!A$1:A$32,0))&amp;INDEX(ETAPP!B$1:B$32,MATCH(COUNTIF(P35:R35,PIV!A$16),ETAPP!A$1:A$32,0))&amp;INDEX(ETAPP!B$1:B$32,MATCH(COUNTIF(P35:R35,PIV!A$17),ETAPP!A$1:A$32,0))&amp;INDEX(ETAPP!B$1:B$32,MATCH(COUNTIF(P35:R35,PIV!A$18),ETAPP!A$1:A$32,0))&amp;INDEX(ETAPP!B$1:B$32,MATCH(COUNTIF(P35:R35,PIV!A$19),ETAPP!A$1:A$32,0))</f>
        <v>0000000000A0000000B</v>
      </c>
      <c r="K35" s="475" t="str">
        <f t="shared" si="6"/>
        <v>012,0-0000000000A0000000B</v>
      </c>
      <c r="L35" s="476">
        <f t="shared" si="7"/>
        <v>29</v>
      </c>
      <c r="M35" s="476">
        <f t="shared" si="8"/>
        <v>25</v>
      </c>
      <c r="N35" s="475" t="str">
        <f t="shared" si="9"/>
        <v>012,0-0000000000A0000000B-025</v>
      </c>
      <c r="O35" s="477">
        <f t="shared" si="10"/>
        <v>5</v>
      </c>
      <c r="P35" s="478" t="str">
        <f>IFERROR(INDEX('1'!C$300:C$400,MATCH("*"&amp;F35&amp;"*",'1'!B$300:B$400,0)),"  ")</f>
        <v xml:space="preserve">  </v>
      </c>
      <c r="Q35" s="479">
        <f>IFERROR(INDEX('2'!C$300:C$400,MATCH("*"&amp;F35&amp;"*",'2'!B$300:B$400,0)),"  ")</f>
        <v>12</v>
      </c>
      <c r="R35" s="479" t="str">
        <f>IFERROR(INDEX('5'!C$300:C$400,MATCH("*"&amp;F35&amp;"*",'5'!B$300:B$400,0)),"  ")</f>
        <v xml:space="preserve">  </v>
      </c>
      <c r="S35" s="481">
        <f t="shared" si="11"/>
        <v>1</v>
      </c>
      <c r="T35" s="481">
        <f t="shared" si="12"/>
        <v>0</v>
      </c>
      <c r="U35" s="481">
        <f t="shared" si="13"/>
        <v>0</v>
      </c>
      <c r="V35" s="412"/>
    </row>
    <row r="36" spans="1:22" x14ac:dyDescent="0.2">
      <c r="A36" s="467" t="str">
        <f t="shared" si="0"/>
        <v/>
      </c>
      <c r="B36" s="468" t="str">
        <f t="shared" si="1"/>
        <v/>
      </c>
      <c r="C36" s="469" t="str">
        <f t="shared" si="2"/>
        <v/>
      </c>
      <c r="D36" s="470" t="str">
        <f t="shared" si="3"/>
        <v/>
      </c>
      <c r="E36" s="471">
        <f t="shared" si="4"/>
        <v>30</v>
      </c>
      <c r="F36" s="487" t="s">
        <v>271</v>
      </c>
      <c r="G36" s="472"/>
      <c r="H36" s="473"/>
      <c r="I36" s="474">
        <f t="shared" si="5"/>
        <v>6</v>
      </c>
      <c r="J36" s="475" t="str">
        <f>INDEX(ETAPP!B$1:B$32,MATCH(COUNTIF(P36:R36,PIV!A$1),ETAPP!A$1:A$32,0))&amp;INDEX(ETAPP!B$1:B$32,MATCH(COUNTIF(P36:R36,PIV!A$2),ETAPP!A$1:A$32,0))&amp;INDEX(ETAPP!B$1:B$32,MATCH(COUNTIF(P36:R36,PIV!A$3),ETAPP!A$1:A$32,0))&amp;INDEX(ETAPP!B$1:B$32,MATCH(COUNTIF(P36:R36,PIV!A$4),ETAPP!A$1:A$32,0))&amp;INDEX(ETAPP!B$1:B$32,MATCH(COUNTIF(P36:R36,PIV!A$5),ETAPP!A$1:A$32,0))&amp;INDEX(ETAPP!B$1:B$32,MATCH(COUNTIF(P36:R36,PIV!A$6),ETAPP!A$1:A$32,0))&amp;INDEX(ETAPP!B$1:B$32,MATCH(COUNTIF(P36:R36,PIV!A$7),ETAPP!A$1:A$32,0))&amp;INDEX(ETAPP!B$1:B$32,MATCH(COUNTIF(P36:R36,PIV!A$8),ETAPP!A$1:A$32,0))&amp;INDEX(ETAPP!B$1:B$32,MATCH(COUNTIF(P36:R36,PIV!A$9),ETAPP!A$1:A$32,0))&amp;INDEX(ETAPP!B$1:B$32,MATCH(COUNTIF(P36:R36,PIV!A$10),ETAPP!A$1:A$32,0))&amp;INDEX(ETAPP!B$1:B$32,MATCH(COUNTIF(P36:R36,PIV!A$11),ETAPP!A$1:A$32,0))&amp;INDEX(ETAPP!B$1:B$32,MATCH(COUNTIF(P36:R36,PIV!A$12),ETAPP!A$1:A$32,0))&amp;INDEX(ETAPP!B$1:B$32,MATCH(COUNTIF(P36:R36,PIV!A$13),ETAPP!A$1:A$32,0))&amp;INDEX(ETAPP!B$1:B$32,MATCH(COUNTIF(P36:R36,PIV!A$14),ETAPP!A$1:A$32,0))&amp;INDEX(ETAPP!B$1:B$32,MATCH(COUNTIF(P36:R36,PIV!A$15),ETAPP!A$1:A$32,0))&amp;INDEX(ETAPP!B$1:B$32,MATCH(COUNTIF(P36:R36,PIV!A$16),ETAPP!A$1:A$32,0))&amp;INDEX(ETAPP!B$1:B$32,MATCH(COUNTIF(P36:R36,PIV!A$17),ETAPP!A$1:A$32,0))&amp;INDEX(ETAPP!B$1:B$32,MATCH(COUNTIF(P36:R36,PIV!A$18),ETAPP!A$1:A$32,0))&amp;INDEX(ETAPP!B$1:B$32,MATCH(COUNTIF(P36:R36,PIV!A$19),ETAPP!A$1:A$32,0))</f>
        <v>0000000000000A0000B</v>
      </c>
      <c r="K36" s="475" t="str">
        <f t="shared" si="6"/>
        <v>006,0-0000000000000A0000B</v>
      </c>
      <c r="L36" s="476">
        <f t="shared" si="7"/>
        <v>30</v>
      </c>
      <c r="M36" s="476">
        <f t="shared" si="8"/>
        <v>14</v>
      </c>
      <c r="N36" s="475" t="str">
        <f t="shared" si="9"/>
        <v>006,0-0000000000000A0000B-014</v>
      </c>
      <c r="O36" s="477">
        <f t="shared" si="10"/>
        <v>4</v>
      </c>
      <c r="P36" s="478" t="str">
        <f>IFERROR(INDEX('1'!C$300:C$400,MATCH("*"&amp;F36&amp;"*",'1'!B$300:B$400,0)),"  ")</f>
        <v xml:space="preserve">  </v>
      </c>
      <c r="Q36" s="479" t="str">
        <f>IFERROR(INDEX('2'!C$300:C$400,MATCH("*"&amp;F36&amp;"*",'2'!B$300:B$400,0)),"  ")</f>
        <v xml:space="preserve">  </v>
      </c>
      <c r="R36" s="479">
        <f>IFERROR(INDEX('5'!C$300:C$400,MATCH("*"&amp;F36&amp;"*",'5'!B$300:B$400,0)),"  ")</f>
        <v>6</v>
      </c>
      <c r="S36" s="481">
        <f t="shared" si="11"/>
        <v>1</v>
      </c>
      <c r="T36" s="481">
        <f t="shared" si="12"/>
        <v>0</v>
      </c>
      <c r="U36" s="481">
        <f t="shared" si="13"/>
        <v>0</v>
      </c>
      <c r="V36" s="412"/>
    </row>
    <row r="37" spans="1:22" x14ac:dyDescent="0.2">
      <c r="A37" s="467" t="str">
        <f t="shared" si="0"/>
        <v/>
      </c>
      <c r="B37" s="468" t="str">
        <f t="shared" si="1"/>
        <v/>
      </c>
      <c r="C37" s="469" t="str">
        <f t="shared" si="2"/>
        <v/>
      </c>
      <c r="D37" s="470" t="str">
        <f t="shared" si="3"/>
        <v/>
      </c>
      <c r="E37" s="471">
        <f t="shared" si="4"/>
        <v>31</v>
      </c>
      <c r="F37" s="484" t="s">
        <v>270</v>
      </c>
      <c r="G37" s="472"/>
      <c r="H37" s="473"/>
      <c r="I37" s="474">
        <f t="shared" si="5"/>
        <v>4</v>
      </c>
      <c r="J37" s="475" t="str">
        <f>INDEX(ETAPP!B$1:B$32,MATCH(COUNTIF(P37:R37,PIV!A$1),ETAPP!A$1:A$32,0))&amp;INDEX(ETAPP!B$1:B$32,MATCH(COUNTIF(P37:R37,PIV!A$2),ETAPP!A$1:A$32,0))&amp;INDEX(ETAPP!B$1:B$32,MATCH(COUNTIF(P37:R37,PIV!A$3),ETAPP!A$1:A$32,0))&amp;INDEX(ETAPP!B$1:B$32,MATCH(COUNTIF(P37:R37,PIV!A$4),ETAPP!A$1:A$32,0))&amp;INDEX(ETAPP!B$1:B$32,MATCH(COUNTIF(P37:R37,PIV!A$5),ETAPP!A$1:A$32,0))&amp;INDEX(ETAPP!B$1:B$32,MATCH(COUNTIF(P37:R37,PIV!A$6),ETAPP!A$1:A$32,0))&amp;INDEX(ETAPP!B$1:B$32,MATCH(COUNTIF(P37:R37,PIV!A$7),ETAPP!A$1:A$32,0))&amp;INDEX(ETAPP!B$1:B$32,MATCH(COUNTIF(P37:R37,PIV!A$8),ETAPP!A$1:A$32,0))&amp;INDEX(ETAPP!B$1:B$32,MATCH(COUNTIF(P37:R37,PIV!A$9),ETAPP!A$1:A$32,0))&amp;INDEX(ETAPP!B$1:B$32,MATCH(COUNTIF(P37:R37,PIV!A$10),ETAPP!A$1:A$32,0))&amp;INDEX(ETAPP!B$1:B$32,MATCH(COUNTIF(P37:R37,PIV!A$11),ETAPP!A$1:A$32,0))&amp;INDEX(ETAPP!B$1:B$32,MATCH(COUNTIF(P37:R37,PIV!A$12),ETAPP!A$1:A$32,0))&amp;INDEX(ETAPP!B$1:B$32,MATCH(COUNTIF(P37:R37,PIV!A$13),ETAPP!A$1:A$32,0))&amp;INDEX(ETAPP!B$1:B$32,MATCH(COUNTIF(P37:R37,PIV!A$14),ETAPP!A$1:A$32,0))&amp;INDEX(ETAPP!B$1:B$32,MATCH(COUNTIF(P37:R37,PIV!A$15),ETAPP!A$1:A$32,0))&amp;INDEX(ETAPP!B$1:B$32,MATCH(COUNTIF(P37:R37,PIV!A$16),ETAPP!A$1:A$32,0))&amp;INDEX(ETAPP!B$1:B$32,MATCH(COUNTIF(P37:R37,PIV!A$17),ETAPP!A$1:A$32,0))&amp;INDEX(ETAPP!B$1:B$32,MATCH(COUNTIF(P37:R37,PIV!A$18),ETAPP!A$1:A$32,0))&amp;INDEX(ETAPP!B$1:B$32,MATCH(COUNTIF(P37:R37,PIV!A$19),ETAPP!A$1:A$32,0))</f>
        <v>00000000000000A000B</v>
      </c>
      <c r="K37" s="475" t="str">
        <f t="shared" si="6"/>
        <v>004,0-00000000000000A000B</v>
      </c>
      <c r="L37" s="476">
        <f t="shared" si="7"/>
        <v>31</v>
      </c>
      <c r="M37" s="476">
        <f t="shared" si="8"/>
        <v>3</v>
      </c>
      <c r="N37" s="475" t="str">
        <f t="shared" si="9"/>
        <v>004,0-00000000000000A000B-003</v>
      </c>
      <c r="O37" s="477">
        <f t="shared" si="10"/>
        <v>3</v>
      </c>
      <c r="P37" s="478" t="str">
        <f>IFERROR(INDEX('1'!C$300:C$400,MATCH("*"&amp;F37&amp;"*",'1'!B$300:B$400,0)),"  ")</f>
        <v xml:space="preserve">  </v>
      </c>
      <c r="Q37" s="479" t="str">
        <f>IFERROR(INDEX('2'!C$300:C$400,MATCH("*"&amp;F37&amp;"*",'2'!B$300:B$400,0)),"  ")</f>
        <v xml:space="preserve">  </v>
      </c>
      <c r="R37" s="479">
        <f>IFERROR(INDEX('5'!C$300:C$400,MATCH("*"&amp;F37&amp;"*",'5'!B$300:B$400,0)),"  ")</f>
        <v>4</v>
      </c>
      <c r="S37" s="481">
        <f t="shared" si="11"/>
        <v>1</v>
      </c>
      <c r="T37" s="481">
        <f t="shared" si="12"/>
        <v>0</v>
      </c>
      <c r="U37" s="481">
        <f t="shared" si="13"/>
        <v>0</v>
      </c>
      <c r="V37" s="412"/>
    </row>
    <row r="38" spans="1:22" x14ac:dyDescent="0.2">
      <c r="A38" s="467">
        <f t="shared" si="0"/>
        <v>5</v>
      </c>
      <c r="B38" s="468">
        <f t="shared" si="1"/>
        <v>33</v>
      </c>
      <c r="C38" s="469" t="str">
        <f t="shared" si="2"/>
        <v/>
      </c>
      <c r="D38" s="470" t="str">
        <f t="shared" si="3"/>
        <v/>
      </c>
      <c r="E38" s="471">
        <f t="shared" si="4"/>
        <v>32</v>
      </c>
      <c r="F38" s="487" t="s">
        <v>257</v>
      </c>
      <c r="G38" s="472" t="s">
        <v>234</v>
      </c>
      <c r="H38" s="473"/>
      <c r="I38" s="474">
        <f t="shared" si="5"/>
        <v>1</v>
      </c>
      <c r="J38" s="475" t="str">
        <f>INDEX(ETAPP!B$1:B$32,MATCH(COUNTIF(P38:R38,PIV!A$1),ETAPP!A$1:A$32,0))&amp;INDEX(ETAPP!B$1:B$32,MATCH(COUNTIF(P38:R38,PIV!A$2),ETAPP!A$1:A$32,0))&amp;INDEX(ETAPP!B$1:B$32,MATCH(COUNTIF(P38:R38,PIV!A$3),ETAPP!A$1:A$32,0))&amp;INDEX(ETAPP!B$1:B$32,MATCH(COUNTIF(P38:R38,PIV!A$4),ETAPP!A$1:A$32,0))&amp;INDEX(ETAPP!B$1:B$32,MATCH(COUNTIF(P38:R38,PIV!A$5),ETAPP!A$1:A$32,0))&amp;INDEX(ETAPP!B$1:B$32,MATCH(COUNTIF(P38:R38,PIV!A$6),ETAPP!A$1:A$32,0))&amp;INDEX(ETAPP!B$1:B$32,MATCH(COUNTIF(P38:R38,PIV!A$7),ETAPP!A$1:A$32,0))&amp;INDEX(ETAPP!B$1:B$32,MATCH(COUNTIF(P38:R38,PIV!A$8),ETAPP!A$1:A$32,0))&amp;INDEX(ETAPP!B$1:B$32,MATCH(COUNTIF(P38:R38,PIV!A$9),ETAPP!A$1:A$32,0))&amp;INDEX(ETAPP!B$1:B$32,MATCH(COUNTIF(P38:R38,PIV!A$10),ETAPP!A$1:A$32,0))&amp;INDEX(ETAPP!B$1:B$32,MATCH(COUNTIF(P38:R38,PIV!A$11),ETAPP!A$1:A$32,0))&amp;INDEX(ETAPP!B$1:B$32,MATCH(COUNTIF(P38:R38,PIV!A$12),ETAPP!A$1:A$32,0))&amp;INDEX(ETAPP!B$1:B$32,MATCH(COUNTIF(P38:R38,PIV!A$13),ETAPP!A$1:A$32,0))&amp;INDEX(ETAPP!B$1:B$32,MATCH(COUNTIF(P38:R38,PIV!A$14),ETAPP!A$1:A$32,0))&amp;INDEX(ETAPP!B$1:B$32,MATCH(COUNTIF(P38:R38,PIV!A$15),ETAPP!A$1:A$32,0))&amp;INDEX(ETAPP!B$1:B$32,MATCH(COUNTIF(P38:R38,PIV!A$16),ETAPP!A$1:A$32,0))&amp;INDEX(ETAPP!B$1:B$32,MATCH(COUNTIF(P38:R38,PIV!A$17),ETAPP!A$1:A$32,0))&amp;INDEX(ETAPP!B$1:B$32,MATCH(COUNTIF(P38:R38,PIV!A$18),ETAPP!A$1:A$32,0))&amp;INDEX(ETAPP!B$1:B$32,MATCH(COUNTIF(P38:R38,PIV!A$19),ETAPP!A$1:A$32,0))</f>
        <v>0000000000000000A0B</v>
      </c>
      <c r="K38" s="475" t="str">
        <f t="shared" si="6"/>
        <v>001,0-0000000000000000A0B</v>
      </c>
      <c r="L38" s="476">
        <f t="shared" si="7"/>
        <v>33</v>
      </c>
      <c r="M38" s="476">
        <f t="shared" si="8"/>
        <v>17</v>
      </c>
      <c r="N38" s="475" t="str">
        <f t="shared" si="9"/>
        <v>001,0-0000000000000000A0B-017</v>
      </c>
      <c r="O38" s="477">
        <f t="shared" si="10"/>
        <v>2</v>
      </c>
      <c r="P38" s="478" t="str">
        <f>IFERROR(INDEX('1'!C$300:C$400,MATCH("*"&amp;F38&amp;"*",'1'!B$300:B$400,0)),"  ")</f>
        <v xml:space="preserve">  </v>
      </c>
      <c r="Q38" s="479" t="str">
        <f>IFERROR(INDEX('2'!C$300:C$400,MATCH("*"&amp;F38&amp;"*",'2'!B$300:B$400,0)),"  ")</f>
        <v xml:space="preserve">  </v>
      </c>
      <c r="R38" s="479">
        <f>IFERROR(INDEX('5'!C$300:C$400,MATCH("*"&amp;F38&amp;"*",'5'!B$300:B$400,0)),"  ")</f>
        <v>1</v>
      </c>
      <c r="S38" s="481">
        <f t="shared" si="11"/>
        <v>1</v>
      </c>
      <c r="T38" s="481">
        <f t="shared" si="12"/>
        <v>0</v>
      </c>
      <c r="U38" s="481">
        <f t="shared" si="13"/>
        <v>0</v>
      </c>
      <c r="V38" s="412"/>
    </row>
    <row r="39" spans="1:22" x14ac:dyDescent="0.2">
      <c r="A39" s="467" t="str">
        <f t="shared" si="0"/>
        <v/>
      </c>
      <c r="B39" s="468" t="str">
        <f t="shared" si="1"/>
        <v/>
      </c>
      <c r="C39" s="469" t="str">
        <f t="shared" si="2"/>
        <v/>
      </c>
      <c r="D39" s="470" t="str">
        <f t="shared" si="3"/>
        <v/>
      </c>
      <c r="E39" s="471">
        <f t="shared" si="4"/>
        <v>32</v>
      </c>
      <c r="F39" s="487" t="s">
        <v>273</v>
      </c>
      <c r="G39" s="472"/>
      <c r="H39" s="473"/>
      <c r="I39" s="474">
        <f t="shared" si="5"/>
        <v>1</v>
      </c>
      <c r="J39" s="475" t="str">
        <f>INDEX(ETAPP!B$1:B$32,MATCH(COUNTIF(P39:R39,PIV!A$1),ETAPP!A$1:A$32,0))&amp;INDEX(ETAPP!B$1:B$32,MATCH(COUNTIF(P39:R39,PIV!A$2),ETAPP!A$1:A$32,0))&amp;INDEX(ETAPP!B$1:B$32,MATCH(COUNTIF(P39:R39,PIV!A$3),ETAPP!A$1:A$32,0))&amp;INDEX(ETAPP!B$1:B$32,MATCH(COUNTIF(P39:R39,PIV!A$4),ETAPP!A$1:A$32,0))&amp;INDEX(ETAPP!B$1:B$32,MATCH(COUNTIF(P39:R39,PIV!A$5),ETAPP!A$1:A$32,0))&amp;INDEX(ETAPP!B$1:B$32,MATCH(COUNTIF(P39:R39,PIV!A$6),ETAPP!A$1:A$32,0))&amp;INDEX(ETAPP!B$1:B$32,MATCH(COUNTIF(P39:R39,PIV!A$7),ETAPP!A$1:A$32,0))&amp;INDEX(ETAPP!B$1:B$32,MATCH(COUNTIF(P39:R39,PIV!A$8),ETAPP!A$1:A$32,0))&amp;INDEX(ETAPP!B$1:B$32,MATCH(COUNTIF(P39:R39,PIV!A$9),ETAPP!A$1:A$32,0))&amp;INDEX(ETAPP!B$1:B$32,MATCH(COUNTIF(P39:R39,PIV!A$10),ETAPP!A$1:A$32,0))&amp;INDEX(ETAPP!B$1:B$32,MATCH(COUNTIF(P39:R39,PIV!A$11),ETAPP!A$1:A$32,0))&amp;INDEX(ETAPP!B$1:B$32,MATCH(COUNTIF(P39:R39,PIV!A$12),ETAPP!A$1:A$32,0))&amp;INDEX(ETAPP!B$1:B$32,MATCH(COUNTIF(P39:R39,PIV!A$13),ETAPP!A$1:A$32,0))&amp;INDEX(ETAPP!B$1:B$32,MATCH(COUNTIF(P39:R39,PIV!A$14),ETAPP!A$1:A$32,0))&amp;INDEX(ETAPP!B$1:B$32,MATCH(COUNTIF(P39:R39,PIV!A$15),ETAPP!A$1:A$32,0))&amp;INDEX(ETAPP!B$1:B$32,MATCH(COUNTIF(P39:R39,PIV!A$16),ETAPP!A$1:A$32,0))&amp;INDEX(ETAPP!B$1:B$32,MATCH(COUNTIF(P39:R39,PIV!A$17),ETAPP!A$1:A$32,0))&amp;INDEX(ETAPP!B$1:B$32,MATCH(COUNTIF(P39:R39,PIV!A$18),ETAPP!A$1:A$32,0))&amp;INDEX(ETAPP!B$1:B$32,MATCH(COUNTIF(P39:R39,PIV!A$19),ETAPP!A$1:A$32,0))</f>
        <v>0000000000000000A0B</v>
      </c>
      <c r="K39" s="475" t="str">
        <f t="shared" si="6"/>
        <v>001,0-0000000000000000A0B</v>
      </c>
      <c r="L39" s="476">
        <f t="shared" si="7"/>
        <v>33</v>
      </c>
      <c r="M39" s="476">
        <f t="shared" si="8"/>
        <v>12</v>
      </c>
      <c r="N39" s="475" t="str">
        <f t="shared" si="9"/>
        <v>001,0-0000000000000000A0B-012</v>
      </c>
      <c r="O39" s="477">
        <f t="shared" si="10"/>
        <v>1</v>
      </c>
      <c r="P39" s="478" t="str">
        <f>IFERROR(INDEX('1'!C$300:C$400,MATCH("*"&amp;F39&amp;"*",'1'!B$300:B$400,0)),"  ")</f>
        <v xml:space="preserve">  </v>
      </c>
      <c r="Q39" s="479" t="str">
        <f>IFERROR(INDEX('2'!C$300:C$400,MATCH("*"&amp;F39&amp;"*",'2'!B$300:B$400,0)),"  ")</f>
        <v xml:space="preserve">  </v>
      </c>
      <c r="R39" s="479">
        <f>IFERROR(INDEX('5'!C$300:C$400,MATCH("*"&amp;F39&amp;"*",'5'!B$300:B$400,0)),"  ")</f>
        <v>1</v>
      </c>
      <c r="S39" s="481">
        <f t="shared" si="11"/>
        <v>1</v>
      </c>
      <c r="T39" s="481">
        <f t="shared" si="12"/>
        <v>0</v>
      </c>
      <c r="U39" s="481">
        <f t="shared" si="13"/>
        <v>0</v>
      </c>
      <c r="V39" s="412"/>
    </row>
    <row r="40" spans="1:22" x14ac:dyDescent="0.2">
      <c r="A40" s="497">
        <f>COUNT(A7:A39)</f>
        <v>5</v>
      </c>
      <c r="B40" s="497"/>
      <c r="C40" s="498">
        <f>COUNT(C7:C39)</f>
        <v>1</v>
      </c>
      <c r="D40" s="498"/>
      <c r="E40" s="499">
        <f>COUNT(E7:E39)</f>
        <v>33</v>
      </c>
      <c r="F40" s="500" t="s">
        <v>284</v>
      </c>
      <c r="G40" s="413"/>
      <c r="H40" s="413"/>
      <c r="I40" s="501"/>
      <c r="J40" s="501"/>
      <c r="K40" s="501"/>
      <c r="L40" s="501"/>
      <c r="M40" s="501"/>
      <c r="N40" s="501"/>
      <c r="O40" s="501"/>
      <c r="P40" s="502">
        <f>COUNTIF(P7:P39,"&gt;=0")</f>
        <v>18</v>
      </c>
      <c r="Q40" s="502">
        <f>COUNTIF(Q7:Q39,"&gt;=0")</f>
        <v>22</v>
      </c>
      <c r="R40" s="502">
        <f>COUNTIF(R7:R39,"&gt;=0")</f>
        <v>20</v>
      </c>
      <c r="S40" s="413"/>
      <c r="T40" s="503">
        <f>SUM(T7:T39)</f>
        <v>18</v>
      </c>
      <c r="U40" s="503">
        <f>SUM(U7:U39)</f>
        <v>6</v>
      </c>
      <c r="V40" s="412"/>
    </row>
    <row r="41" spans="1:22" x14ac:dyDescent="0.2">
      <c r="A41" s="413"/>
      <c r="B41" s="413"/>
      <c r="C41" s="504"/>
      <c r="D41" s="504"/>
      <c r="E41" s="413"/>
      <c r="F41" s="500" t="s">
        <v>285</v>
      </c>
      <c r="G41" s="413"/>
      <c r="H41" s="413"/>
      <c r="I41" s="501"/>
      <c r="J41" s="501"/>
      <c r="K41" s="501"/>
      <c r="L41" s="501"/>
      <c r="M41" s="501"/>
      <c r="N41" s="501"/>
      <c r="O41" s="501"/>
      <c r="P41" s="505">
        <f>IF((P40/(LEN(P5)-LEN(SUBSTITUTE(P5,"*","")))-0.5)&lt;0,"",P40/(LEN(P5)-LEN(SUBSTITUTE(P5,"*","")))-0.5)</f>
        <v>5.5</v>
      </c>
      <c r="Q41" s="505">
        <f>IF((Q40/(LEN(Q5)-LEN(SUBSTITUTE(Q5,"*","")))-0.5)&lt;0,"",Q40/(LEN(Q5)-LEN(SUBSTITUTE(Q5,"*","")))-0.5)</f>
        <v>10.5</v>
      </c>
      <c r="R41" s="505">
        <f>IF((R40/(LEN(R5)-LEN(SUBSTITUTE(R5,"*","")))-0.5)&lt;0,"",R40/(LEN(R5)-LEN(SUBSTITUTE(R5,"*","")))-0.5)</f>
        <v>19.5</v>
      </c>
      <c r="S41" s="413"/>
      <c r="T41" s="413"/>
      <c r="U41" s="413"/>
      <c r="V41" s="412"/>
    </row>
    <row r="42" spans="1:22" x14ac:dyDescent="0.2">
      <c r="A42" s="412"/>
      <c r="B42" s="412"/>
      <c r="C42" s="420"/>
      <c r="D42" s="420"/>
      <c r="E42" s="412"/>
      <c r="F42" s="412"/>
      <c r="G42" s="412"/>
      <c r="H42" s="412"/>
      <c r="I42" s="493"/>
      <c r="J42" s="493"/>
      <c r="K42" s="493"/>
      <c r="L42" s="493"/>
      <c r="M42" s="493"/>
      <c r="N42" s="493"/>
      <c r="O42" s="493"/>
      <c r="P42" s="420"/>
      <c r="Q42" s="420"/>
      <c r="R42" s="420"/>
      <c r="S42" s="412"/>
      <c r="T42" s="412"/>
      <c r="U42" s="412"/>
      <c r="V42" s="412"/>
    </row>
    <row r="43" spans="1:22" x14ac:dyDescent="0.2">
      <c r="A43" s="420"/>
      <c r="B43" s="420"/>
      <c r="C43" s="412"/>
      <c r="D43" s="412"/>
    </row>
    <row r="44" spans="1:22" x14ac:dyDescent="0.2">
      <c r="A44" s="420"/>
      <c r="B44" s="420"/>
      <c r="C44" s="412"/>
      <c r="D44" s="412"/>
    </row>
    <row r="45" spans="1:22" x14ac:dyDescent="0.2">
      <c r="A45" s="420"/>
      <c r="B45" s="420"/>
      <c r="C45" s="412"/>
      <c r="D45" s="412"/>
    </row>
    <row r="46" spans="1:22" x14ac:dyDescent="0.2">
      <c r="A46" s="420"/>
      <c r="B46" s="420"/>
      <c r="C46" s="412"/>
      <c r="D46" s="412"/>
    </row>
    <row r="47" spans="1:22" x14ac:dyDescent="0.2">
      <c r="A47" s="420"/>
      <c r="B47" s="420"/>
      <c r="C47" s="412"/>
      <c r="D47" s="412"/>
    </row>
    <row r="48" spans="1:22" x14ac:dyDescent="0.2">
      <c r="A48" s="412"/>
      <c r="B48" s="412"/>
      <c r="C48" s="420"/>
      <c r="D48" s="420"/>
    </row>
    <row r="49" spans="1:21" x14ac:dyDescent="0.2">
      <c r="A49" s="412"/>
      <c r="B49" s="412"/>
      <c r="C49" s="420"/>
      <c r="D49" s="420"/>
    </row>
    <row r="50" spans="1:21" x14ac:dyDescent="0.2">
      <c r="A50" s="412"/>
      <c r="B50" s="412"/>
      <c r="C50" s="420"/>
      <c r="D50" s="420"/>
    </row>
    <row r="51" spans="1:21" x14ac:dyDescent="0.2">
      <c r="A51" s="412"/>
      <c r="B51" s="412"/>
      <c r="C51" s="420"/>
      <c r="D51" s="420"/>
    </row>
    <row r="52" spans="1:21" x14ac:dyDescent="0.2">
      <c r="A52" s="412"/>
      <c r="B52" s="412"/>
      <c r="C52" s="420"/>
      <c r="D52" s="420"/>
    </row>
    <row r="53" spans="1:21" x14ac:dyDescent="0.2">
      <c r="A53" s="412"/>
      <c r="B53" s="412"/>
      <c r="C53" s="420"/>
      <c r="D53" s="420"/>
    </row>
    <row r="54" spans="1:21" x14ac:dyDescent="0.2">
      <c r="A54" s="412"/>
      <c r="B54" s="412"/>
      <c r="C54" s="420"/>
      <c r="D54" s="420"/>
    </row>
    <row r="55" spans="1:21" x14ac:dyDescent="0.2">
      <c r="A55" s="412"/>
      <c r="B55" s="412"/>
      <c r="C55" s="420"/>
      <c r="D55" s="420"/>
    </row>
    <row r="56" spans="1:21" x14ac:dyDescent="0.2">
      <c r="A56" s="412"/>
      <c r="B56" s="412"/>
      <c r="C56" s="420"/>
      <c r="D56" s="420"/>
    </row>
    <row r="57" spans="1:21" x14ac:dyDescent="0.2">
      <c r="A57" s="412"/>
      <c r="B57" s="412"/>
      <c r="C57" s="420"/>
      <c r="D57" s="420"/>
    </row>
    <row r="58" spans="1:21" x14ac:dyDescent="0.2">
      <c r="A58" s="412"/>
      <c r="B58" s="412"/>
      <c r="C58" s="420"/>
      <c r="D58" s="420"/>
    </row>
    <row r="59" spans="1:21" x14ac:dyDescent="0.2">
      <c r="A59" s="412"/>
      <c r="B59" s="412"/>
      <c r="C59" s="420"/>
      <c r="D59" s="420"/>
    </row>
    <row r="60" spans="1:21" x14ac:dyDescent="0.2">
      <c r="A60" s="412"/>
      <c r="B60" s="412"/>
      <c r="C60" s="420"/>
      <c r="D60" s="420"/>
      <c r="E60" s="412"/>
      <c r="F60" s="412"/>
      <c r="G60" s="412"/>
      <c r="H60" s="412"/>
      <c r="I60" s="493"/>
      <c r="J60" s="493"/>
      <c r="K60" s="493"/>
      <c r="L60" s="493"/>
      <c r="M60" s="493"/>
      <c r="N60" s="493"/>
      <c r="O60" s="493"/>
      <c r="P60" s="420"/>
      <c r="Q60" s="420"/>
      <c r="R60" s="420"/>
      <c r="S60" s="412"/>
      <c r="T60" s="412"/>
      <c r="U60" s="412"/>
    </row>
    <row r="61" spans="1:21" x14ac:dyDescent="0.2">
      <c r="A61" s="412"/>
      <c r="B61" s="412"/>
      <c r="C61" s="420"/>
      <c r="D61" s="420"/>
      <c r="E61" s="412"/>
      <c r="F61" s="412"/>
      <c r="G61" s="412"/>
      <c r="H61" s="412"/>
      <c r="I61" s="493"/>
      <c r="J61" s="493"/>
      <c r="K61" s="493"/>
      <c r="L61" s="493"/>
      <c r="M61" s="493"/>
      <c r="N61" s="493"/>
      <c r="O61" s="493"/>
      <c r="P61" s="420"/>
      <c r="Q61" s="420"/>
      <c r="R61" s="420"/>
      <c r="S61" s="412"/>
      <c r="T61" s="412"/>
      <c r="U61" s="412"/>
    </row>
    <row r="62" spans="1:21" x14ac:dyDescent="0.2">
      <c r="A62" s="412"/>
      <c r="B62" s="412"/>
      <c r="C62" s="420"/>
      <c r="D62" s="420"/>
      <c r="E62" s="412"/>
      <c r="F62" s="412"/>
      <c r="G62" s="412"/>
      <c r="H62" s="412"/>
      <c r="I62" s="493"/>
      <c r="J62" s="493"/>
      <c r="K62" s="493"/>
      <c r="L62" s="493"/>
      <c r="M62" s="493"/>
      <c r="N62" s="493"/>
      <c r="O62" s="493"/>
      <c r="P62" s="420"/>
      <c r="Q62" s="420"/>
      <c r="R62" s="420"/>
      <c r="S62" s="412"/>
      <c r="T62" s="412"/>
      <c r="U62" s="412"/>
    </row>
  </sheetData>
  <autoFilter ref="S6:U6"/>
  <mergeCells count="3">
    <mergeCell ref="S4:S5"/>
    <mergeCell ref="T4:T5"/>
    <mergeCell ref="U4:U5"/>
  </mergeCells>
  <conditionalFormatting sqref="P40:R40">
    <cfRule type="top10" dxfId="957" priority="1" stopIfTrue="1" rank="1"/>
  </conditionalFormatting>
  <conditionalFormatting sqref="T7:T39">
    <cfRule type="top10" dxfId="956" priority="2" stopIfTrue="1" rank="1"/>
  </conditionalFormatting>
  <conditionalFormatting sqref="U7:U39">
    <cfRule type="top10" dxfId="955" priority="3" stopIfTrue="1" rank="1"/>
  </conditionalFormatting>
  <conditionalFormatting sqref="S7:S39">
    <cfRule type="top10" dxfId="954" priority="4" stopIfTrue="1" rank="1"/>
  </conditionalFormatting>
  <conditionalFormatting sqref="E7:E39">
    <cfRule type="expression" dxfId="953" priority="5">
      <formula>I7=0</formula>
    </cfRule>
    <cfRule type="duplicateValues" dxfId="952" priority="6" stopIfTrue="1"/>
  </conditionalFormatting>
  <conditionalFormatting sqref="I7:I39">
    <cfRule type="duplicateValues" dxfId="951" priority="7" stopIfTrue="1"/>
  </conditionalFormatting>
  <conditionalFormatting sqref="A7:A39">
    <cfRule type="expression" dxfId="950" priority="8">
      <formula>I7=0</formula>
    </cfRule>
    <cfRule type="duplicateValues" dxfId="949" priority="9"/>
  </conditionalFormatting>
  <conditionalFormatting sqref="C7:C39">
    <cfRule type="expression" dxfId="948" priority="10">
      <formula>I7=0</formula>
    </cfRule>
    <cfRule type="duplicateValues" dxfId="947" priority="11"/>
  </conditionalFormatting>
  <conditionalFormatting sqref="F7:F39">
    <cfRule type="expression" dxfId="946" priority="20">
      <formula>H7="j"</formula>
    </cfRule>
    <cfRule type="expression" dxfId="945" priority="21">
      <formula>G7="n"</formula>
    </cfRule>
    <cfRule type="duplicateValues" dxfId="944" priority="22" stopIfTrue="1"/>
  </conditionalFormatting>
  <conditionalFormatting sqref="P7:R39">
    <cfRule type="expression" dxfId="943" priority="56" stopIfTrue="1">
      <formula>COUNTIF(P$7:P$43,"&gt;0")=0</formula>
    </cfRule>
    <cfRule type="expression" dxfId="942" priority="57">
      <formula>IF(P7="  ",FALSE,P7)+P$6/10000=#REF!</formula>
    </cfRule>
    <cfRule type="expression" dxfId="941" priority="58">
      <formula>IF(P7="  ",FALSE,P7)+P$6/10000=#REF!</formula>
    </cfRule>
    <cfRule type="expression" dxfId="940" priority="59">
      <formula>IF(P7="  ",FALSE,P7)+P$6/10000=#REF!</formula>
    </cfRule>
    <cfRule type="expression" dxfId="939" priority="60">
      <formula>IF(P7="  ",FALSE,P7)+P$6/10000=#REF!</formula>
    </cfRule>
    <cfRule type="cellIs" dxfId="938" priority="61" operator="equal">
      <formula>30</formula>
    </cfRule>
    <cfRule type="cellIs" dxfId="937" priority="62" operator="equal">
      <formula>34</formula>
    </cfRule>
    <cfRule type="cellIs" dxfId="936" priority="63" operator="equal">
      <formula>40</formula>
    </cfRule>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M317"/>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38.28515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8.28515625" hidden="1" customWidth="1"/>
    <col min="33" max="33" width="9.140625" hidden="1" customWidth="1"/>
    <col min="34" max="34" width="23.28515625" hidden="1" customWidth="1"/>
    <col min="35" max="35" width="9.140625" hidden="1" customWidth="1"/>
    <col min="36" max="36" width="17.28515625" hidden="1" customWidth="1"/>
    <col min="37" max="37" width="9.140625" hidden="1" customWidth="1"/>
    <col min="38" max="38" width="13.85546875" hidden="1" customWidth="1"/>
  </cols>
  <sheetData>
    <row r="1" spans="1:39" x14ac:dyDescent="0.2">
      <c r="A1" s="742" t="str">
        <f>UPPER((Kalend!E25)&amp;" - "&amp;(Kalend!C25)&amp;" - "&amp;(Kalend!D25))</f>
        <v>6 - IDA-VIRUMAA MV - DUO</v>
      </c>
      <c r="B1" s="652"/>
      <c r="C1" s="653"/>
      <c r="D1" s="652"/>
      <c r="E1" s="652"/>
      <c r="F1" s="410" t="str">
        <f>HYPERLINK("#Kalend!I1","Kalender")</f>
        <v>Kalender</v>
      </c>
      <c r="G1" s="410"/>
      <c r="H1" s="410"/>
      <c r="I1" s="410"/>
      <c r="J1" s="654" t="str">
        <f>HYPERLINK("#Reit!r1","Reiting")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tr">
        <f>"Toimumisaeg: "&amp;(Kalend!A25)&amp;" kell "&amp;(Kalend!B25)</f>
        <v>Toimumisaeg: P, 30.06.2019 kell 11:00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2"/>
      <c r="AE2" s="652"/>
      <c r="AF2" s="652"/>
      <c r="AG2" s="652"/>
      <c r="AH2" s="652"/>
      <c r="AI2" s="652"/>
      <c r="AJ2" s="652"/>
      <c r="AK2" s="652"/>
      <c r="AL2" s="652"/>
      <c r="AM2" s="652"/>
    </row>
    <row r="3" spans="1:39" x14ac:dyDescent="0.2">
      <c r="A3" s="659" t="str">
        <f>"Toimumiskoht: "&amp;(Kalend!F25)</f>
        <v>Toimumiskoht: Voka staadion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tr">
        <f>"Korraldaja: "&amp;(Kalend!G25)</f>
        <v>Korraldaja: Johannes Neiland</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x14ac:dyDescent="0.2">
      <c r="A8" s="685">
        <v>1</v>
      </c>
      <c r="B8" s="686" t="s">
        <v>410</v>
      </c>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708">
        <f t="shared" ref="AD8" ca="1" si="0">SUM(AE8:AL8)</f>
        <v>658</v>
      </c>
      <c r="AE8" s="709">
        <f ca="1">IFERROR(INDEX(Reit!I$8:I$64,MATCH(AF8,Reit!F$8:F$64,0)),"")</f>
        <v>364</v>
      </c>
      <c r="AF8" s="710" t="str">
        <f t="shared" ref="AF8:AF25" si="1">IFERROR(LEFT(B8,(FIND(",",B8,1)-1)),"")</f>
        <v>Ivar Viljaste</v>
      </c>
      <c r="AG8" s="709">
        <f ca="1">IFERROR(INDEX(Reit!I$8:I$64,MATCH(AH8,Reit!F$8:F$64,0)),"")</f>
        <v>294</v>
      </c>
      <c r="AH8" s="710" t="str">
        <f t="shared" ref="AH8:AH25" si="2">IFERROR(MID(B8,FIND(", ",B8)+2,256),"")</f>
        <v>Matti Vinni</v>
      </c>
      <c r="AI8" s="709" t="str">
        <f>IFERROR(INDEX(Reit!I$8:I$64,MATCH(AJ8,Reit!F$8:F$64,0)),"")</f>
        <v/>
      </c>
      <c r="AJ8" s="710" t="str">
        <f t="shared" ref="AJ8:AJ25" si="3">IFERROR(MID(B8,FIND("^",SUBSTITUTE(B8,", ","^",1))+2,FIND("^",SUBSTITUTE(B8,", ","^",2))-FIND("^",SUBSTITUTE(B8,", ","^",1))-2),"")</f>
        <v/>
      </c>
      <c r="AK8" s="709" t="str">
        <f>IFERROR(INDEX(Reit!I$8:I$64,MATCH(AL8,Reit!F$8:F$64,0)),"")</f>
        <v/>
      </c>
      <c r="AL8" s="710" t="str">
        <f t="shared" ref="AL8:AL25" si="4">IFERROR(MID(B8,FIND(", ",B8,FIND(", ",B8,FIND(", ",B8))+1)+2,700),"")</f>
        <v/>
      </c>
      <c r="AM8" s="652"/>
    </row>
    <row r="9" spans="1:39" x14ac:dyDescent="0.2">
      <c r="A9" s="685">
        <v>2</v>
      </c>
      <c r="B9" s="686" t="s">
        <v>383</v>
      </c>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25" si="5">IF(C9&gt;E9,J$3,IF(C9&lt;E9,J$5,IF(ISNUMBER(C9),J$4,0)))+IF(G9&gt;I9,J$3,IF(G9&lt;I9,J$5,IF(ISNUMBER(G9),J$4,0)))+IF(K9&gt;M9,J$3,IF(K9&lt;M9,J$5,IF(ISNUMBER(K9),J$4,0)))+IF(O9&gt;Q9,J$3,IF(O9&lt;Q9,J$5,IF(ISNUMBER(O9),J$4,0)))+IF(S9&gt;U9,J$3,IF(S9&lt;U9,J$5,IF(ISNUMBER(S9),J$4,0)))</f>
        <v>0</v>
      </c>
      <c r="X9" s="692"/>
      <c r="Y9" s="687">
        <f t="shared" ref="Y9:Y25" si="6">C9+G9+K9+O9+S9</f>
        <v>0</v>
      </c>
      <c r="Z9" s="688" t="s">
        <v>377</v>
      </c>
      <c r="AA9" s="693">
        <f t="shared" ref="AA9:AA25" si="7">E9+I9+M9+Q9+U9</f>
        <v>0</v>
      </c>
      <c r="AB9" s="694">
        <f t="shared" ref="AB9:AB25" si="8">Y9-AA9</f>
        <v>0</v>
      </c>
      <c r="AC9" s="695"/>
      <c r="AD9" s="708">
        <f t="shared" ref="AD9:AD25" ca="1" si="9">SUM(AE9:AL9)</f>
        <v>508</v>
      </c>
      <c r="AE9" s="709">
        <f ca="1">IFERROR(INDEX(Reit!I$8:I$64,MATCH(AF9,Reit!F$8:F$64,0)),"")</f>
        <v>258</v>
      </c>
      <c r="AF9" s="710" t="str">
        <f t="shared" si="1"/>
        <v>Elmo Lageda</v>
      </c>
      <c r="AG9" s="709">
        <f ca="1">IFERROR(INDEX(Reit!I$8:I$64,MATCH(AH9,Reit!F$8:F$64,0)),"")</f>
        <v>250</v>
      </c>
      <c r="AH9" s="710" t="str">
        <f t="shared" si="2"/>
        <v>Tõnu Piik</v>
      </c>
      <c r="AI9" s="709" t="str">
        <f>IFERROR(INDEX(Reit!I$8:I$64,MATCH(AJ9,Reit!F$8:F$64,0)),"")</f>
        <v/>
      </c>
      <c r="AJ9" s="710" t="str">
        <f t="shared" si="3"/>
        <v/>
      </c>
      <c r="AK9" s="709" t="str">
        <f>IFERROR(INDEX(Reit!I$8:I$64,MATCH(AL9,Reit!F$8:F$64,0)),"")</f>
        <v/>
      </c>
      <c r="AL9" s="710" t="str">
        <f t="shared" si="4"/>
        <v/>
      </c>
      <c r="AM9" s="652"/>
    </row>
    <row r="10" spans="1:39" x14ac:dyDescent="0.2">
      <c r="A10" s="685">
        <v>3</v>
      </c>
      <c r="B10" s="686" t="s">
        <v>396</v>
      </c>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5"/>
        <v>0</v>
      </c>
      <c r="X10" s="692"/>
      <c r="Y10" s="687">
        <f t="shared" si="6"/>
        <v>0</v>
      </c>
      <c r="Z10" s="688" t="s">
        <v>377</v>
      </c>
      <c r="AA10" s="693">
        <f t="shared" si="7"/>
        <v>0</v>
      </c>
      <c r="AB10" s="694">
        <f t="shared" si="8"/>
        <v>0</v>
      </c>
      <c r="AC10" s="695"/>
      <c r="AD10" s="708">
        <f t="shared" ca="1" si="9"/>
        <v>640</v>
      </c>
      <c r="AE10" s="709">
        <f ca="1">IFERROR(INDEX(Reit!I$8:I$64,MATCH(AF10,Reit!F$8:F$64,0)),"")</f>
        <v>310</v>
      </c>
      <c r="AF10" s="710" t="str">
        <f t="shared" si="1"/>
        <v>Jaan Sepp</v>
      </c>
      <c r="AG10" s="709">
        <f ca="1">IFERROR(INDEX(Reit!I$8:I$64,MATCH(AH10,Reit!F$8:F$64,0)),"")</f>
        <v>330</v>
      </c>
      <c r="AH10" s="710" t="str">
        <f t="shared" si="2"/>
        <v>Oskar Sepp</v>
      </c>
      <c r="AI10" s="709" t="str">
        <f>IFERROR(INDEX(Reit!I$8:I$64,MATCH(AJ10,Reit!F$8:F$64,0)),"")</f>
        <v/>
      </c>
      <c r="AJ10" s="710" t="str">
        <f t="shared" si="3"/>
        <v/>
      </c>
      <c r="AK10" s="709" t="str">
        <f>IFERROR(INDEX(Reit!I$8:I$64,MATCH(AL10,Reit!F$8:F$64,0)),"")</f>
        <v/>
      </c>
      <c r="AL10" s="710" t="str">
        <f t="shared" si="4"/>
        <v/>
      </c>
      <c r="AM10" s="652"/>
    </row>
    <row r="11" spans="1:39" x14ac:dyDescent="0.2">
      <c r="A11" s="685">
        <v>4</v>
      </c>
      <c r="B11" s="686" t="s">
        <v>567</v>
      </c>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5"/>
        <v>0</v>
      </c>
      <c r="X11" s="692"/>
      <c r="Y11" s="687">
        <f t="shared" si="6"/>
        <v>0</v>
      </c>
      <c r="Z11" s="688" t="s">
        <v>377</v>
      </c>
      <c r="AA11" s="693">
        <f t="shared" si="7"/>
        <v>0</v>
      </c>
      <c r="AB11" s="694">
        <f t="shared" si="8"/>
        <v>0</v>
      </c>
      <c r="AC11" s="695"/>
      <c r="AD11" s="708">
        <f t="shared" ca="1" si="9"/>
        <v>198</v>
      </c>
      <c r="AE11" s="709">
        <f ca="1">IFERROR(INDEX(Reit!I$8:I$64,MATCH(AF11,Reit!F$8:F$64,0)),"")</f>
        <v>132</v>
      </c>
      <c r="AF11" s="710" t="str">
        <f t="shared" si="1"/>
        <v>Argo Sepp</v>
      </c>
      <c r="AG11" s="709">
        <f ca="1">IFERROR(INDEX(Reit!I$8:I$64,MATCH(AH11,Reit!F$8:F$64,0)),"")</f>
        <v>66</v>
      </c>
      <c r="AH11" s="710" t="str">
        <f t="shared" si="2"/>
        <v>Toomas Tedrekull</v>
      </c>
      <c r="AI11" s="709" t="str">
        <f>IFERROR(INDEX(Reit!I$8:I$64,MATCH(AJ11,Reit!F$8:F$64,0)),"")</f>
        <v/>
      </c>
      <c r="AJ11" s="710" t="str">
        <f t="shared" si="3"/>
        <v/>
      </c>
      <c r="AK11" s="709" t="str">
        <f>IFERROR(INDEX(Reit!I$8:I$64,MATCH(AL11,Reit!F$8:F$64,0)),"")</f>
        <v/>
      </c>
      <c r="AL11" s="710" t="str">
        <f t="shared" si="4"/>
        <v/>
      </c>
      <c r="AM11" s="652"/>
    </row>
    <row r="12" spans="1:39" x14ac:dyDescent="0.2">
      <c r="A12" s="685">
        <v>5</v>
      </c>
      <c r="B12" s="686" t="s">
        <v>391</v>
      </c>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5"/>
        <v>0</v>
      </c>
      <c r="X12" s="692"/>
      <c r="Y12" s="687">
        <f t="shared" si="6"/>
        <v>0</v>
      </c>
      <c r="Z12" s="688" t="s">
        <v>377</v>
      </c>
      <c r="AA12" s="693">
        <f t="shared" si="7"/>
        <v>0</v>
      </c>
      <c r="AB12" s="694">
        <f t="shared" si="8"/>
        <v>0</v>
      </c>
      <c r="AC12" s="695"/>
      <c r="AD12" s="708">
        <f t="shared" ca="1" si="9"/>
        <v>347</v>
      </c>
      <c r="AE12" s="709">
        <f ca="1">IFERROR(INDEX(Reit!I$8:I$64,MATCH(AF12,Reit!F$8:F$64,0)),"")</f>
        <v>89</v>
      </c>
      <c r="AF12" s="710" t="str">
        <f t="shared" si="1"/>
        <v>Oksana Rõndenkova</v>
      </c>
      <c r="AG12" s="709">
        <f ca="1">IFERROR(INDEX(Reit!I$8:I$64,MATCH(AH12,Reit!F$8:F$64,0)),"")</f>
        <v>258</v>
      </c>
      <c r="AH12" s="710" t="str">
        <f t="shared" si="2"/>
        <v>Oleg Rõndenkov</v>
      </c>
      <c r="AI12" s="709" t="str">
        <f>IFERROR(INDEX(Reit!I$8:I$64,MATCH(AJ12,Reit!F$8:F$64,0)),"")</f>
        <v/>
      </c>
      <c r="AJ12" s="710" t="str">
        <f t="shared" si="3"/>
        <v/>
      </c>
      <c r="AK12" s="709" t="str">
        <f>IFERROR(INDEX(Reit!I$8:I$64,MATCH(AL12,Reit!F$8:F$64,0)),"")</f>
        <v/>
      </c>
      <c r="AL12" s="710" t="str">
        <f t="shared" si="4"/>
        <v/>
      </c>
      <c r="AM12" s="652"/>
    </row>
    <row r="13" spans="1:39" x14ac:dyDescent="0.2">
      <c r="A13" s="685">
        <v>6</v>
      </c>
      <c r="B13" s="686" t="s">
        <v>393</v>
      </c>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5"/>
        <v>0</v>
      </c>
      <c r="X13" s="692"/>
      <c r="Y13" s="687">
        <f t="shared" si="6"/>
        <v>0</v>
      </c>
      <c r="Z13" s="688" t="s">
        <v>377</v>
      </c>
      <c r="AA13" s="693">
        <f t="shared" si="7"/>
        <v>0</v>
      </c>
      <c r="AB13" s="694">
        <f t="shared" si="8"/>
        <v>0</v>
      </c>
      <c r="AC13" s="695"/>
      <c r="AD13" s="708">
        <f t="shared" ca="1" si="9"/>
        <v>358</v>
      </c>
      <c r="AE13" s="709">
        <f ca="1">IFERROR(INDEX(Reit!I$8:I$64,MATCH(AF13,Reit!F$8:F$64,0)),"")</f>
        <v>168</v>
      </c>
      <c r="AF13" s="710" t="str">
        <f t="shared" si="1"/>
        <v>Andrei Grintšak</v>
      </c>
      <c r="AG13" s="709">
        <f ca="1">IFERROR(INDEX(Reit!I$8:I$64,MATCH(AH13,Reit!F$8:F$64,0)),"")</f>
        <v>190</v>
      </c>
      <c r="AH13" s="710" t="str">
        <f t="shared" si="2"/>
        <v>Boriss Klubov</v>
      </c>
      <c r="AI13" s="709" t="str">
        <f>IFERROR(INDEX(Reit!I$8:I$64,MATCH(AJ13,Reit!F$8:F$64,0)),"")</f>
        <v/>
      </c>
      <c r="AJ13" s="710" t="str">
        <f t="shared" si="3"/>
        <v/>
      </c>
      <c r="AK13" s="709" t="str">
        <f>IFERROR(INDEX(Reit!I$8:I$64,MATCH(AL13,Reit!F$8:F$64,0)),"")</f>
        <v/>
      </c>
      <c r="AL13" s="710" t="str">
        <f t="shared" si="4"/>
        <v/>
      </c>
      <c r="AM13" s="652"/>
    </row>
    <row r="14" spans="1:39" ht="25.5" x14ac:dyDescent="0.2">
      <c r="A14" s="685">
        <v>7</v>
      </c>
      <c r="B14" s="696" t="s">
        <v>426</v>
      </c>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5"/>
        <v>0</v>
      </c>
      <c r="X14" s="692"/>
      <c r="Y14" s="687">
        <f t="shared" si="6"/>
        <v>0</v>
      </c>
      <c r="Z14" s="688" t="s">
        <v>377</v>
      </c>
      <c r="AA14" s="693">
        <f t="shared" si="7"/>
        <v>0</v>
      </c>
      <c r="AB14" s="694">
        <f t="shared" si="8"/>
        <v>0</v>
      </c>
      <c r="AC14" s="695"/>
      <c r="AD14" s="708">
        <f t="shared" ca="1" si="9"/>
        <v>315</v>
      </c>
      <c r="AE14" s="709">
        <f ca="1">IFERROR(INDEX(Reit!I$8:I$64,MATCH(AF14,Reit!F$8:F$64,0)),"")</f>
        <v>258</v>
      </c>
      <c r="AF14" s="710" t="str">
        <f t="shared" si="1"/>
        <v>Kenneth Muusikus</v>
      </c>
      <c r="AG14" s="709">
        <f ca="1">IFERROR(INDEX(Reit!I$8:I$64,MATCH(AH14,Reit!F$8:F$64,0)),"")</f>
        <v>57</v>
      </c>
      <c r="AH14" s="710" t="str">
        <f t="shared" si="2"/>
        <v>Sandra Laura Nõmmeloo</v>
      </c>
      <c r="AI14" s="709" t="str">
        <f>IFERROR(INDEX(Reit!I$8:I$64,MATCH(AJ14,Reit!F$8:F$64,0)),"")</f>
        <v/>
      </c>
      <c r="AJ14" s="710" t="str">
        <f t="shared" si="3"/>
        <v/>
      </c>
      <c r="AK14" s="709" t="str">
        <f>IFERROR(INDEX(Reit!I$8:I$64,MATCH(AL14,Reit!F$8:F$64,0)),"")</f>
        <v/>
      </c>
      <c r="AL14" s="710" t="str">
        <f t="shared" si="4"/>
        <v/>
      </c>
      <c r="AM14" s="652"/>
    </row>
    <row r="15" spans="1:39" ht="25.5" x14ac:dyDescent="0.2">
      <c r="A15" s="685">
        <v>8</v>
      </c>
      <c r="B15" s="696" t="s">
        <v>568</v>
      </c>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5"/>
        <v>0</v>
      </c>
      <c r="X15" s="692"/>
      <c r="Y15" s="687">
        <f t="shared" si="6"/>
        <v>0</v>
      </c>
      <c r="Z15" s="688" t="s">
        <v>377</v>
      </c>
      <c r="AA15" s="693">
        <f t="shared" si="7"/>
        <v>0</v>
      </c>
      <c r="AB15" s="694">
        <f t="shared" si="8"/>
        <v>0</v>
      </c>
      <c r="AC15" s="695"/>
      <c r="AD15" s="708">
        <f t="shared" ca="1" si="9"/>
        <v>371</v>
      </c>
      <c r="AE15" s="709">
        <f ca="1">IFERROR(INDEX(Reit!I$8:I$64,MATCH(AF15,Reit!F$8:F$64,0)),"")</f>
        <v>86</v>
      </c>
      <c r="AF15" s="710" t="str">
        <f t="shared" si="1"/>
        <v>Johannes Neiland</v>
      </c>
      <c r="AG15" s="709" t="str">
        <f>IFERROR(INDEX(Reit!I$8:I$64,MATCH(AH15,Reit!F$8:F$64,0)),"")</f>
        <v/>
      </c>
      <c r="AH15" s="710" t="str">
        <f t="shared" si="2"/>
        <v>Kaspar Mänd, Mait Metsla</v>
      </c>
      <c r="AI15" s="709">
        <f ca="1">IFERROR(INDEX(Reit!I$8:I$64,MATCH(AJ15,Reit!F$8:F$64,0)),"")</f>
        <v>57</v>
      </c>
      <c r="AJ15" s="710" t="str">
        <f t="shared" si="3"/>
        <v>Kaspar Mänd</v>
      </c>
      <c r="AK15" s="709">
        <f ca="1">IFERROR(INDEX(Reit!I$8:I$64,MATCH(AL15,Reit!F$8:F$64,0)),"")</f>
        <v>228</v>
      </c>
      <c r="AL15" s="710" t="str">
        <f t="shared" si="4"/>
        <v>Mait Metsla</v>
      </c>
      <c r="AM15" s="652"/>
    </row>
    <row r="16" spans="1:39" x14ac:dyDescent="0.2">
      <c r="A16" s="685">
        <v>9</v>
      </c>
      <c r="B16" s="686" t="s">
        <v>569</v>
      </c>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5"/>
        <v>0</v>
      </c>
      <c r="X16" s="692"/>
      <c r="Y16" s="687">
        <f t="shared" si="6"/>
        <v>0</v>
      </c>
      <c r="Z16" s="688" t="s">
        <v>377</v>
      </c>
      <c r="AA16" s="693">
        <f t="shared" si="7"/>
        <v>0</v>
      </c>
      <c r="AB16" s="694">
        <f t="shared" si="8"/>
        <v>0</v>
      </c>
      <c r="AC16" s="695"/>
      <c r="AD16" s="708">
        <f t="shared" ca="1" si="9"/>
        <v>159</v>
      </c>
      <c r="AE16" s="709">
        <f ca="1">IFERROR(INDEX(Reit!I$8:I$64,MATCH(AF16,Reit!F$8:F$64,0)),"")</f>
        <v>72</v>
      </c>
      <c r="AF16" s="710" t="str">
        <f t="shared" si="1"/>
        <v>Aigi Orro</v>
      </c>
      <c r="AG16" s="709">
        <f ca="1">IFERROR(INDEX(Reit!I$8:I$64,MATCH(AH16,Reit!F$8:F$64,0)),"")</f>
        <v>87</v>
      </c>
      <c r="AH16" s="710" t="str">
        <f t="shared" si="2"/>
        <v>Kalle Orro</v>
      </c>
      <c r="AI16" s="709" t="str">
        <f>IFERROR(INDEX(Reit!I$8:I$64,MATCH(AJ16,Reit!F$8:F$64,0)),"")</f>
        <v/>
      </c>
      <c r="AJ16" s="710" t="str">
        <f t="shared" si="3"/>
        <v/>
      </c>
      <c r="AK16" s="709" t="str">
        <f>IFERROR(INDEX(Reit!I$8:I$64,MATCH(AL16,Reit!F$8:F$64,0)),"")</f>
        <v/>
      </c>
      <c r="AL16" s="710" t="str">
        <f t="shared" si="4"/>
        <v/>
      </c>
      <c r="AM16" s="652"/>
    </row>
    <row r="17" spans="1:39" x14ac:dyDescent="0.2">
      <c r="A17" s="685">
        <v>10</v>
      </c>
      <c r="B17" s="686" t="s">
        <v>392</v>
      </c>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5"/>
        <v>0</v>
      </c>
      <c r="X17" s="692"/>
      <c r="Y17" s="687">
        <f t="shared" si="6"/>
        <v>0</v>
      </c>
      <c r="Z17" s="688" t="s">
        <v>377</v>
      </c>
      <c r="AA17" s="693">
        <f t="shared" si="7"/>
        <v>0</v>
      </c>
      <c r="AB17" s="694">
        <f t="shared" si="8"/>
        <v>0</v>
      </c>
      <c r="AC17" s="695"/>
      <c r="AD17" s="708">
        <f t="shared" ca="1" si="9"/>
        <v>420</v>
      </c>
      <c r="AE17" s="709">
        <f ca="1">IFERROR(INDEX(Reit!I$8:I$64,MATCH(AF17,Reit!F$8:F$64,0)),"")</f>
        <v>196</v>
      </c>
      <c r="AF17" s="710" t="str">
        <f t="shared" si="1"/>
        <v>Aarne Välja</v>
      </c>
      <c r="AG17" s="709">
        <f ca="1">IFERROR(INDEX(Reit!I$8:I$64,MATCH(AH17,Reit!F$8:F$64,0)),"")</f>
        <v>224</v>
      </c>
      <c r="AH17" s="710" t="str">
        <f t="shared" si="2"/>
        <v>Janek Tarto</v>
      </c>
      <c r="AI17" s="709" t="str">
        <f>IFERROR(INDEX(Reit!I$8:I$64,MATCH(AJ17,Reit!F$8:F$64,0)),"")</f>
        <v/>
      </c>
      <c r="AJ17" s="710" t="str">
        <f t="shared" si="3"/>
        <v/>
      </c>
      <c r="AK17" s="709" t="str">
        <f>IFERROR(INDEX(Reit!I$8:I$64,MATCH(AL17,Reit!F$8:F$64,0)),"")</f>
        <v/>
      </c>
      <c r="AL17" s="710" t="str">
        <f t="shared" si="4"/>
        <v/>
      </c>
      <c r="AM17" s="652"/>
    </row>
    <row r="18" spans="1:39" x14ac:dyDescent="0.2">
      <c r="A18" s="685">
        <v>11</v>
      </c>
      <c r="B18" s="696" t="s">
        <v>395</v>
      </c>
      <c r="C18" s="687"/>
      <c r="D18" s="688" t="s">
        <v>377</v>
      </c>
      <c r="E18" s="689"/>
      <c r="F18" s="690"/>
      <c r="G18" s="687"/>
      <c r="H18" s="688" t="s">
        <v>377</v>
      </c>
      <c r="I18" s="689"/>
      <c r="J18" s="690"/>
      <c r="K18" s="687"/>
      <c r="L18" s="688" t="s">
        <v>377</v>
      </c>
      <c r="M18" s="689"/>
      <c r="N18" s="690"/>
      <c r="O18" s="687"/>
      <c r="P18" s="688" t="s">
        <v>377</v>
      </c>
      <c r="Q18" s="689"/>
      <c r="R18" s="690"/>
      <c r="S18" s="687"/>
      <c r="T18" s="688" t="s">
        <v>377</v>
      </c>
      <c r="U18" s="689"/>
      <c r="V18" s="690"/>
      <c r="W18" s="691">
        <f t="shared" si="5"/>
        <v>0</v>
      </c>
      <c r="X18" s="692"/>
      <c r="Y18" s="687">
        <f t="shared" si="6"/>
        <v>0</v>
      </c>
      <c r="Z18" s="688" t="s">
        <v>377</v>
      </c>
      <c r="AA18" s="693">
        <f t="shared" si="7"/>
        <v>0</v>
      </c>
      <c r="AB18" s="694">
        <f t="shared" si="8"/>
        <v>0</v>
      </c>
      <c r="AC18" s="695"/>
      <c r="AD18" s="708">
        <f t="shared" ca="1" si="9"/>
        <v>394</v>
      </c>
      <c r="AE18" s="709">
        <f ca="1">IFERROR(INDEX(Reit!I$8:I$64,MATCH(AF18,Reit!F$8:F$64,0)),"")</f>
        <v>234</v>
      </c>
      <c r="AF18" s="710" t="str">
        <f t="shared" si="1"/>
        <v>Andres Veski</v>
      </c>
      <c r="AG18" s="709">
        <f ca="1">IFERROR(INDEX(Reit!I$8:I$64,MATCH(AH18,Reit!F$8:F$64,0)),"")</f>
        <v>160</v>
      </c>
      <c r="AH18" s="710" t="str">
        <f t="shared" si="2"/>
        <v>Svetlana Veski</v>
      </c>
      <c r="AI18" s="709" t="str">
        <f>IFERROR(INDEX(Reit!I$8:I$64,MATCH(AJ18,Reit!F$8:F$64,0)),"")</f>
        <v/>
      </c>
      <c r="AJ18" s="710" t="str">
        <f t="shared" si="3"/>
        <v/>
      </c>
      <c r="AK18" s="709" t="str">
        <f>IFERROR(INDEX(Reit!I$8:I$64,MATCH(AL18,Reit!F$8:F$64,0)),"")</f>
        <v/>
      </c>
      <c r="AL18" s="710" t="str">
        <f t="shared" si="4"/>
        <v/>
      </c>
      <c r="AM18" s="652"/>
    </row>
    <row r="19" spans="1:39" x14ac:dyDescent="0.2">
      <c r="A19" s="685">
        <v>12</v>
      </c>
      <c r="B19" s="696" t="s">
        <v>399</v>
      </c>
      <c r="C19" s="687"/>
      <c r="D19" s="688" t="s">
        <v>377</v>
      </c>
      <c r="E19" s="689"/>
      <c r="F19" s="690"/>
      <c r="G19" s="687"/>
      <c r="H19" s="688" t="s">
        <v>377</v>
      </c>
      <c r="I19" s="689"/>
      <c r="J19" s="690"/>
      <c r="K19" s="687"/>
      <c r="L19" s="688" t="s">
        <v>377</v>
      </c>
      <c r="M19" s="689"/>
      <c r="N19" s="690"/>
      <c r="O19" s="687"/>
      <c r="P19" s="688" t="s">
        <v>377</v>
      </c>
      <c r="Q19" s="689"/>
      <c r="R19" s="690"/>
      <c r="S19" s="687"/>
      <c r="T19" s="688" t="s">
        <v>377</v>
      </c>
      <c r="U19" s="689"/>
      <c r="V19" s="690"/>
      <c r="W19" s="691">
        <f t="shared" si="5"/>
        <v>0</v>
      </c>
      <c r="X19" s="692"/>
      <c r="Y19" s="687">
        <f t="shared" si="6"/>
        <v>0</v>
      </c>
      <c r="Z19" s="688" t="s">
        <v>377</v>
      </c>
      <c r="AA19" s="693">
        <f t="shared" si="7"/>
        <v>0</v>
      </c>
      <c r="AB19" s="694">
        <f t="shared" si="8"/>
        <v>0</v>
      </c>
      <c r="AC19" s="695"/>
      <c r="AD19" s="708">
        <f t="shared" ca="1" si="9"/>
        <v>211</v>
      </c>
      <c r="AE19" s="709">
        <f ca="1">IFERROR(INDEX(Reit!I$8:I$64,MATCH(AF19,Reit!F$8:F$64,0)),"")</f>
        <v>116</v>
      </c>
      <c r="AF19" s="710" t="str">
        <f t="shared" si="1"/>
        <v>Henri Mitt</v>
      </c>
      <c r="AG19" s="709">
        <f ca="1">IFERROR(INDEX(Reit!I$8:I$64,MATCH(AH19,Reit!F$8:F$64,0)),"")</f>
        <v>95</v>
      </c>
      <c r="AH19" s="710" t="str">
        <f t="shared" si="2"/>
        <v>Urmas Randlaine</v>
      </c>
      <c r="AI19" s="709" t="str">
        <f>IFERROR(INDEX(Reit!I$8:I$64,MATCH(AJ19,Reit!F$8:F$64,0)),"")</f>
        <v/>
      </c>
      <c r="AJ19" s="710" t="str">
        <f t="shared" si="3"/>
        <v/>
      </c>
      <c r="AK19" s="709" t="str">
        <f>IFERROR(INDEX(Reit!I$8:I$64,MATCH(AL19,Reit!F$8:F$64,0)),"")</f>
        <v/>
      </c>
      <c r="AL19" s="710" t="str">
        <f t="shared" si="4"/>
        <v/>
      </c>
      <c r="AM19" s="652"/>
    </row>
    <row r="20" spans="1:39" x14ac:dyDescent="0.2">
      <c r="A20" s="685">
        <v>13</v>
      </c>
      <c r="B20" s="686" t="s">
        <v>570</v>
      </c>
      <c r="C20" s="687"/>
      <c r="D20" s="688" t="s">
        <v>377</v>
      </c>
      <c r="E20" s="689"/>
      <c r="F20" s="690"/>
      <c r="G20" s="687"/>
      <c r="H20" s="688" t="s">
        <v>377</v>
      </c>
      <c r="I20" s="689"/>
      <c r="J20" s="690"/>
      <c r="K20" s="687"/>
      <c r="L20" s="688" t="s">
        <v>377</v>
      </c>
      <c r="M20" s="689"/>
      <c r="N20" s="690"/>
      <c r="O20" s="687"/>
      <c r="P20" s="688" t="s">
        <v>377</v>
      </c>
      <c r="Q20" s="689"/>
      <c r="R20" s="690"/>
      <c r="S20" s="687"/>
      <c r="T20" s="688" t="s">
        <v>377</v>
      </c>
      <c r="U20" s="689"/>
      <c r="V20" s="690"/>
      <c r="W20" s="691">
        <f t="shared" si="5"/>
        <v>0</v>
      </c>
      <c r="X20" s="692"/>
      <c r="Y20" s="687">
        <f t="shared" si="6"/>
        <v>0</v>
      </c>
      <c r="Z20" s="688" t="s">
        <v>377</v>
      </c>
      <c r="AA20" s="693">
        <f t="shared" si="7"/>
        <v>0</v>
      </c>
      <c r="AB20" s="694">
        <f t="shared" si="8"/>
        <v>0</v>
      </c>
      <c r="AC20" s="695"/>
      <c r="AD20" s="708">
        <f t="shared" ca="1" si="9"/>
        <v>104</v>
      </c>
      <c r="AE20" s="709">
        <f ca="1">IFERROR(INDEX(Reit!I$8:I$64,MATCH(AF20,Reit!F$8:F$64,0)),"")</f>
        <v>52</v>
      </c>
      <c r="AF20" s="710" t="str">
        <f t="shared" si="1"/>
        <v>Ljudmila Varendi</v>
      </c>
      <c r="AG20" s="709">
        <f ca="1">IFERROR(INDEX(Reit!I$8:I$64,MATCH(AH20,Reit!F$8:F$64,0)),"")</f>
        <v>52</v>
      </c>
      <c r="AH20" s="710" t="str">
        <f t="shared" si="2"/>
        <v>Viktor Švarõgin</v>
      </c>
      <c r="AI20" s="709" t="str">
        <f>IFERROR(INDEX(Reit!I$8:I$64,MATCH(AJ20,Reit!F$8:F$64,0)),"")</f>
        <v/>
      </c>
      <c r="AJ20" s="710" t="str">
        <f t="shared" si="3"/>
        <v/>
      </c>
      <c r="AK20" s="709" t="str">
        <f>IFERROR(INDEX(Reit!I$8:I$64,MATCH(AL20,Reit!F$8:F$64,0)),"")</f>
        <v/>
      </c>
      <c r="AL20" s="710" t="str">
        <f t="shared" si="4"/>
        <v/>
      </c>
      <c r="AM20" s="652"/>
    </row>
    <row r="21" spans="1:39" x14ac:dyDescent="0.2">
      <c r="A21" s="685">
        <v>14</v>
      </c>
      <c r="B21" s="696" t="s">
        <v>404</v>
      </c>
      <c r="C21" s="687"/>
      <c r="D21" s="688" t="s">
        <v>377</v>
      </c>
      <c r="E21" s="689"/>
      <c r="F21" s="690"/>
      <c r="G21" s="687"/>
      <c r="H21" s="688" t="s">
        <v>377</v>
      </c>
      <c r="I21" s="689"/>
      <c r="J21" s="690"/>
      <c r="K21" s="687"/>
      <c r="L21" s="688" t="s">
        <v>377</v>
      </c>
      <c r="M21" s="689"/>
      <c r="N21" s="690"/>
      <c r="O21" s="687"/>
      <c r="P21" s="688" t="s">
        <v>377</v>
      </c>
      <c r="Q21" s="689"/>
      <c r="R21" s="690"/>
      <c r="S21" s="687"/>
      <c r="T21" s="688" t="s">
        <v>377</v>
      </c>
      <c r="U21" s="689"/>
      <c r="V21" s="690"/>
      <c r="W21" s="691">
        <f t="shared" si="5"/>
        <v>0</v>
      </c>
      <c r="X21" s="692"/>
      <c r="Y21" s="687">
        <f t="shared" si="6"/>
        <v>0</v>
      </c>
      <c r="Z21" s="688" t="s">
        <v>377</v>
      </c>
      <c r="AA21" s="693">
        <f t="shared" si="7"/>
        <v>0</v>
      </c>
      <c r="AB21" s="694">
        <f t="shared" si="8"/>
        <v>0</v>
      </c>
      <c r="AC21" s="695"/>
      <c r="AD21" s="708">
        <f t="shared" ca="1" si="9"/>
        <v>129</v>
      </c>
      <c r="AE21" s="709">
        <f ca="1">IFERROR(INDEX(Reit!I$8:I$64,MATCH(AF21,Reit!F$8:F$64,0)),"")</f>
        <v>74</v>
      </c>
      <c r="AF21" s="710" t="str">
        <f t="shared" si="1"/>
        <v>Karla Purgats</v>
      </c>
      <c r="AG21" s="709">
        <f ca="1">IFERROR(INDEX(Reit!I$8:I$64,MATCH(AH21,Reit!F$8:F$64,0)),"")</f>
        <v>55</v>
      </c>
      <c r="AH21" s="710" t="str">
        <f t="shared" si="2"/>
        <v>Lemmit Toomra</v>
      </c>
      <c r="AI21" s="709" t="str">
        <f>IFERROR(INDEX(Reit!I$8:I$64,MATCH(AJ21,Reit!F$8:F$64,0)),"")</f>
        <v/>
      </c>
      <c r="AJ21" s="710" t="str">
        <f t="shared" si="3"/>
        <v/>
      </c>
      <c r="AK21" s="709" t="str">
        <f>IFERROR(INDEX(Reit!I$8:I$64,MATCH(AL21,Reit!F$8:F$64,0)),"")</f>
        <v/>
      </c>
      <c r="AL21" s="710" t="str">
        <f t="shared" si="4"/>
        <v/>
      </c>
      <c r="AM21" s="652"/>
    </row>
    <row r="22" spans="1:39" x14ac:dyDescent="0.2">
      <c r="A22" s="685">
        <v>15</v>
      </c>
      <c r="B22" s="696" t="s">
        <v>381</v>
      </c>
      <c r="C22" s="687"/>
      <c r="D22" s="688" t="s">
        <v>377</v>
      </c>
      <c r="E22" s="689"/>
      <c r="F22" s="690"/>
      <c r="G22" s="687"/>
      <c r="H22" s="688" t="s">
        <v>377</v>
      </c>
      <c r="I22" s="689"/>
      <c r="J22" s="690"/>
      <c r="K22" s="687"/>
      <c r="L22" s="688" t="s">
        <v>377</v>
      </c>
      <c r="M22" s="689"/>
      <c r="N22" s="690"/>
      <c r="O22" s="687"/>
      <c r="P22" s="688" t="s">
        <v>377</v>
      </c>
      <c r="Q22" s="689"/>
      <c r="R22" s="690"/>
      <c r="S22" s="687"/>
      <c r="T22" s="688" t="s">
        <v>377</v>
      </c>
      <c r="U22" s="689"/>
      <c r="V22" s="690"/>
      <c r="W22" s="691">
        <f t="shared" si="5"/>
        <v>0</v>
      </c>
      <c r="X22" s="692"/>
      <c r="Y22" s="687">
        <f t="shared" si="6"/>
        <v>0</v>
      </c>
      <c r="Z22" s="688" t="s">
        <v>377</v>
      </c>
      <c r="AA22" s="693">
        <f t="shared" si="7"/>
        <v>0</v>
      </c>
      <c r="AB22" s="694">
        <f t="shared" si="8"/>
        <v>0</v>
      </c>
      <c r="AC22" s="695"/>
      <c r="AD22" s="708">
        <f t="shared" ca="1" si="9"/>
        <v>282</v>
      </c>
      <c r="AE22" s="709">
        <f ca="1">IFERROR(INDEX(Reit!I$8:I$64,MATCH(AF22,Reit!F$8:F$64,0)),"")</f>
        <v>158</v>
      </c>
      <c r="AF22" s="710" t="str">
        <f t="shared" si="1"/>
        <v>Tõnu Kapper</v>
      </c>
      <c r="AG22" s="709">
        <f ca="1">IFERROR(INDEX(Reit!I$8:I$64,MATCH(AH22,Reit!F$8:F$64,0)),"")</f>
        <v>124</v>
      </c>
      <c r="AH22" s="710" t="str">
        <f t="shared" si="2"/>
        <v>Vladimir Ogneštšikov</v>
      </c>
      <c r="AI22" s="709" t="str">
        <f>IFERROR(INDEX(Reit!I$8:I$64,MATCH(AJ22,Reit!F$8:F$64,0)),"")</f>
        <v/>
      </c>
      <c r="AJ22" s="710" t="str">
        <f t="shared" si="3"/>
        <v/>
      </c>
      <c r="AK22" s="709" t="str">
        <f>IFERROR(INDEX(Reit!I$8:I$64,MATCH(AL22,Reit!F$8:F$64,0)),"")</f>
        <v/>
      </c>
      <c r="AL22" s="710" t="str">
        <f t="shared" si="4"/>
        <v/>
      </c>
      <c r="AM22" s="652"/>
    </row>
    <row r="23" spans="1:39" x14ac:dyDescent="0.2">
      <c r="A23" s="685">
        <v>16</v>
      </c>
      <c r="B23" s="686" t="s">
        <v>571</v>
      </c>
      <c r="C23" s="687"/>
      <c r="D23" s="688" t="s">
        <v>377</v>
      </c>
      <c r="E23" s="689"/>
      <c r="F23" s="690"/>
      <c r="G23" s="687"/>
      <c r="H23" s="688" t="s">
        <v>377</v>
      </c>
      <c r="I23" s="689"/>
      <c r="J23" s="690"/>
      <c r="K23" s="687"/>
      <c r="L23" s="688" t="s">
        <v>377</v>
      </c>
      <c r="M23" s="689"/>
      <c r="N23" s="690"/>
      <c r="O23" s="687"/>
      <c r="P23" s="688" t="s">
        <v>377</v>
      </c>
      <c r="Q23" s="689"/>
      <c r="R23" s="690"/>
      <c r="S23" s="687"/>
      <c r="T23" s="688" t="s">
        <v>377</v>
      </c>
      <c r="U23" s="689"/>
      <c r="V23" s="690"/>
      <c r="W23" s="691">
        <f t="shared" si="5"/>
        <v>0</v>
      </c>
      <c r="X23" s="692"/>
      <c r="Y23" s="687">
        <f t="shared" si="6"/>
        <v>0</v>
      </c>
      <c r="Z23" s="688" t="s">
        <v>377</v>
      </c>
      <c r="AA23" s="693">
        <f t="shared" si="7"/>
        <v>0</v>
      </c>
      <c r="AB23" s="694">
        <f t="shared" si="8"/>
        <v>0</v>
      </c>
      <c r="AC23" s="695"/>
      <c r="AD23" s="708">
        <f t="shared" ca="1" si="9"/>
        <v>70</v>
      </c>
      <c r="AE23" s="709">
        <f ca="1">IFERROR(INDEX(Reit!I$8:I$64,MATCH(AF23,Reit!F$8:F$64,0)),"")</f>
        <v>2</v>
      </c>
      <c r="AF23" s="710" t="str">
        <f t="shared" si="1"/>
        <v>Dmitri Salkasev</v>
      </c>
      <c r="AG23" s="709">
        <f ca="1">IFERROR(INDEX(Reit!I$8:I$64,MATCH(AH23,Reit!F$8:F$64,0)),"")</f>
        <v>68</v>
      </c>
      <c r="AH23" s="710" t="str">
        <f t="shared" si="2"/>
        <v>Tõnis Anton</v>
      </c>
      <c r="AI23" s="709" t="str">
        <f>IFERROR(INDEX(Reit!I$8:I$64,MATCH(AJ23,Reit!F$8:F$64,0)),"")</f>
        <v/>
      </c>
      <c r="AJ23" s="710" t="str">
        <f t="shared" si="3"/>
        <v/>
      </c>
      <c r="AK23" s="709" t="str">
        <f>IFERROR(INDEX(Reit!I$8:I$64,MATCH(AL23,Reit!F$8:F$64,0)),"")</f>
        <v/>
      </c>
      <c r="AL23" s="710" t="str">
        <f t="shared" si="4"/>
        <v/>
      </c>
      <c r="AM23" s="652"/>
    </row>
    <row r="24" spans="1:39" x14ac:dyDescent="0.2">
      <c r="A24" s="685">
        <v>17</v>
      </c>
      <c r="B24" s="696" t="s">
        <v>385</v>
      </c>
      <c r="C24" s="687"/>
      <c r="D24" s="688" t="s">
        <v>377</v>
      </c>
      <c r="E24" s="689"/>
      <c r="F24" s="690"/>
      <c r="G24" s="687"/>
      <c r="H24" s="688" t="s">
        <v>377</v>
      </c>
      <c r="I24" s="689"/>
      <c r="J24" s="690"/>
      <c r="K24" s="687"/>
      <c r="L24" s="688" t="s">
        <v>377</v>
      </c>
      <c r="M24" s="689"/>
      <c r="N24" s="690"/>
      <c r="O24" s="687"/>
      <c r="P24" s="688" t="s">
        <v>377</v>
      </c>
      <c r="Q24" s="689"/>
      <c r="R24" s="690"/>
      <c r="S24" s="687"/>
      <c r="T24" s="688" t="s">
        <v>377</v>
      </c>
      <c r="U24" s="689"/>
      <c r="V24" s="690"/>
      <c r="W24" s="691">
        <f t="shared" si="5"/>
        <v>0</v>
      </c>
      <c r="X24" s="692"/>
      <c r="Y24" s="687">
        <f t="shared" si="6"/>
        <v>0</v>
      </c>
      <c r="Z24" s="688" t="s">
        <v>377</v>
      </c>
      <c r="AA24" s="693">
        <f t="shared" si="7"/>
        <v>0</v>
      </c>
      <c r="AB24" s="694">
        <f t="shared" si="8"/>
        <v>0</v>
      </c>
      <c r="AC24" s="695"/>
      <c r="AD24" s="708">
        <f t="shared" ca="1" si="9"/>
        <v>42</v>
      </c>
      <c r="AE24" s="709">
        <f ca="1">IFERROR(INDEX(Reit!I$8:I$64,MATCH(AF24,Reit!F$8:F$64,0)),"")</f>
        <v>41</v>
      </c>
      <c r="AF24" s="710" t="str">
        <f t="shared" si="1"/>
        <v>Meelis Luud</v>
      </c>
      <c r="AG24" s="709">
        <f ca="1">IFERROR(INDEX(Reit!I$8:I$64,MATCH(AH24,Reit!F$8:F$64,0)),"")</f>
        <v>1</v>
      </c>
      <c r="AH24" s="710" t="str">
        <f t="shared" si="2"/>
        <v>Sander Rose</v>
      </c>
      <c r="AI24" s="709" t="str">
        <f>IFERROR(INDEX(Reit!I$8:I$64,MATCH(AJ24,Reit!F$8:F$64,0)),"")</f>
        <v/>
      </c>
      <c r="AJ24" s="710" t="str">
        <f t="shared" si="3"/>
        <v/>
      </c>
      <c r="AK24" s="709" t="str">
        <f>IFERROR(INDEX(Reit!I$8:I$64,MATCH(AL24,Reit!F$8:F$64,0)),"")</f>
        <v/>
      </c>
      <c r="AL24" s="710" t="str">
        <f t="shared" si="4"/>
        <v/>
      </c>
      <c r="AM24" s="652"/>
    </row>
    <row r="25" spans="1:39" x14ac:dyDescent="0.2">
      <c r="A25" s="685">
        <v>18</v>
      </c>
      <c r="B25" s="696" t="s">
        <v>244</v>
      </c>
      <c r="C25" s="687"/>
      <c r="D25" s="688" t="s">
        <v>377</v>
      </c>
      <c r="E25" s="689"/>
      <c r="F25" s="690"/>
      <c r="G25" s="687"/>
      <c r="H25" s="688" t="s">
        <v>377</v>
      </c>
      <c r="I25" s="689"/>
      <c r="J25" s="690"/>
      <c r="K25" s="687"/>
      <c r="L25" s="688" t="s">
        <v>377</v>
      </c>
      <c r="M25" s="689"/>
      <c r="N25" s="690"/>
      <c r="O25" s="687"/>
      <c r="P25" s="688" t="s">
        <v>377</v>
      </c>
      <c r="Q25" s="689"/>
      <c r="R25" s="690"/>
      <c r="S25" s="687"/>
      <c r="T25" s="688" t="s">
        <v>377</v>
      </c>
      <c r="U25" s="689"/>
      <c r="V25" s="690"/>
      <c r="W25" s="691">
        <f t="shared" si="5"/>
        <v>0</v>
      </c>
      <c r="X25" s="692"/>
      <c r="Y25" s="687">
        <f t="shared" si="6"/>
        <v>0</v>
      </c>
      <c r="Z25" s="688" t="s">
        <v>377</v>
      </c>
      <c r="AA25" s="693">
        <f t="shared" si="7"/>
        <v>0</v>
      </c>
      <c r="AB25" s="694">
        <f t="shared" si="8"/>
        <v>0</v>
      </c>
      <c r="AC25" s="695"/>
      <c r="AD25" s="708">
        <f t="shared" si="9"/>
        <v>0</v>
      </c>
      <c r="AE25" s="709" t="str">
        <f>IFERROR(INDEX(Reit!I$8:I$64,MATCH(AF25,Reit!F$8:F$64,0)),"")</f>
        <v/>
      </c>
      <c r="AF25" s="710" t="str">
        <f t="shared" si="1"/>
        <v/>
      </c>
      <c r="AG25" s="709" t="str">
        <f>IFERROR(INDEX(Reit!I$8:I$64,MATCH(AH25,Reit!F$8:F$64,0)),"")</f>
        <v/>
      </c>
      <c r="AH25" s="710" t="str">
        <f t="shared" si="2"/>
        <v/>
      </c>
      <c r="AI25" s="709" t="str">
        <f>IFERROR(INDEX(Reit!I$8:I$64,MATCH(AJ25,Reit!F$8:F$64,0)),"")</f>
        <v/>
      </c>
      <c r="AJ25" s="710" t="str">
        <f t="shared" si="3"/>
        <v/>
      </c>
      <c r="AK25" s="709" t="str">
        <f>IFERROR(INDEX(Reit!I$8:I$64,MATCH(AL25,Reit!F$8:F$64,0)),"")</f>
        <v/>
      </c>
      <c r="AL25" s="710" t="str">
        <f t="shared" si="4"/>
        <v/>
      </c>
      <c r="AM25" s="652"/>
    </row>
    <row r="26" spans="1:39" hidden="1" x14ac:dyDescent="0.2">
      <c r="A26" s="652"/>
      <c r="B26" s="652"/>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row>
    <row r="27" spans="1:39" hidden="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row>
    <row r="28" spans="1:39" hidden="1" x14ac:dyDescent="0.2">
      <c r="A28" s="652"/>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row>
    <row r="29" spans="1:39" hidden="1" x14ac:dyDescent="0.2">
      <c r="A29" s="652"/>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row>
    <row r="30" spans="1:39"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row>
    <row r="31" spans="1:39"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row>
    <row r="32" spans="1:39"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row>
    <row r="33" spans="1:39"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row>
    <row r="34" spans="1:39"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row>
    <row r="35" spans="1:39"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row>
    <row r="36" spans="1:39"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2"/>
    </row>
    <row r="133" spans="1:39"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c r="AH133" s="652"/>
      <c r="AI133" s="652"/>
      <c r="AJ133" s="652"/>
      <c r="AK133" s="652"/>
      <c r="AL133" s="652"/>
      <c r="AM133" s="652"/>
    </row>
    <row r="134" spans="1:39" hidden="1" x14ac:dyDescent="0.2">
      <c r="A134" s="652"/>
      <c r="B134" s="652"/>
      <c r="C134" s="652"/>
      <c r="D134" s="652"/>
      <c r="E134" s="652"/>
      <c r="F134" s="652"/>
      <c r="G134" s="652"/>
      <c r="H134" s="652"/>
      <c r="I134" s="652"/>
      <c r="J134" s="652"/>
      <c r="K134" s="652"/>
      <c r="L134" s="652"/>
      <c r="M134" s="652"/>
      <c r="N134" s="652"/>
      <c r="O134" s="652"/>
      <c r="P134" s="652"/>
      <c r="Q134" s="652"/>
      <c r="R134" s="652"/>
      <c r="S134" s="652"/>
      <c r="T134" s="652"/>
      <c r="U134" s="652"/>
      <c r="V134" s="652"/>
      <c r="W134" s="652"/>
      <c r="X134" s="652"/>
      <c r="Y134" s="652"/>
      <c r="Z134" s="652"/>
      <c r="AA134" s="652"/>
      <c r="AB134" s="652"/>
      <c r="AC134" s="652"/>
      <c r="AD134" s="652"/>
      <c r="AE134" s="652"/>
      <c r="AF134" s="652"/>
      <c r="AG134" s="652"/>
      <c r="AH134" s="652"/>
      <c r="AI134" s="652"/>
      <c r="AJ134" s="652"/>
      <c r="AK134" s="652"/>
      <c r="AL134" s="652"/>
      <c r="AM134" s="652"/>
    </row>
    <row r="135" spans="1:39" hidden="1" x14ac:dyDescent="0.2">
      <c r="A135" s="652"/>
      <c r="B135" s="652"/>
      <c r="C135" s="652"/>
      <c r="D135" s="652"/>
      <c r="E135" s="652"/>
      <c r="F135" s="652"/>
      <c r="G135" s="652"/>
      <c r="H135" s="652"/>
      <c r="I135" s="652"/>
      <c r="J135" s="652"/>
      <c r="K135" s="652"/>
      <c r="L135" s="652"/>
      <c r="M135" s="652"/>
      <c r="N135" s="652"/>
      <c r="O135" s="652"/>
      <c r="P135" s="652"/>
      <c r="Q135" s="652"/>
      <c r="R135" s="652"/>
      <c r="S135" s="652"/>
      <c r="T135" s="652"/>
      <c r="U135" s="652"/>
      <c r="V135" s="652"/>
      <c r="W135" s="652"/>
      <c r="X135" s="652"/>
      <c r="Y135" s="652"/>
      <c r="Z135" s="652"/>
      <c r="AA135" s="652"/>
      <c r="AB135" s="652"/>
      <c r="AC135" s="652"/>
      <c r="AD135" s="652"/>
      <c r="AE135" s="652"/>
      <c r="AF135" s="652"/>
      <c r="AG135" s="652"/>
      <c r="AH135" s="652"/>
      <c r="AI135" s="652"/>
      <c r="AJ135" s="652"/>
      <c r="AK135" s="652"/>
      <c r="AL135" s="652"/>
      <c r="AM135" s="652"/>
    </row>
    <row r="136" spans="1:39" hidden="1" x14ac:dyDescent="0.2">
      <c r="A136" s="652"/>
      <c r="B136" s="652"/>
      <c r="C136" s="652"/>
      <c r="D136" s="652"/>
      <c r="E136" s="652"/>
      <c r="F136" s="652"/>
      <c r="G136" s="652"/>
      <c r="H136" s="652"/>
      <c r="I136" s="652"/>
      <c r="J136" s="652"/>
      <c r="K136" s="652"/>
      <c r="L136" s="652"/>
      <c r="M136" s="652"/>
      <c r="N136" s="652"/>
      <c r="O136" s="652"/>
      <c r="P136" s="652"/>
      <c r="Q136" s="652"/>
      <c r="R136" s="652"/>
      <c r="S136" s="652"/>
      <c r="T136" s="652"/>
      <c r="U136" s="652"/>
      <c r="V136" s="652"/>
      <c r="W136" s="652"/>
      <c r="X136" s="652"/>
      <c r="Y136" s="652"/>
      <c r="Z136" s="652"/>
      <c r="AA136" s="652"/>
      <c r="AB136" s="652"/>
      <c r="AC136" s="652"/>
      <c r="AD136" s="652"/>
      <c r="AE136" s="652"/>
      <c r="AF136" s="652"/>
      <c r="AG136" s="652"/>
      <c r="AH136" s="652"/>
      <c r="AI136" s="652"/>
      <c r="AJ136" s="652"/>
      <c r="AK136" s="652"/>
      <c r="AL136" s="652"/>
      <c r="AM136" s="652"/>
    </row>
    <row r="137" spans="1:39" hidden="1" x14ac:dyDescent="0.2">
      <c r="A137" s="652"/>
      <c r="B137" s="652"/>
      <c r="C137" s="652"/>
      <c r="D137" s="652"/>
      <c r="E137" s="652"/>
      <c r="F137" s="652"/>
      <c r="G137" s="652"/>
      <c r="H137" s="652"/>
      <c r="I137" s="652"/>
      <c r="J137" s="652"/>
      <c r="K137" s="652"/>
      <c r="L137" s="652"/>
      <c r="M137" s="652"/>
      <c r="N137" s="652"/>
      <c r="O137" s="652"/>
      <c r="P137" s="652"/>
      <c r="Q137" s="652"/>
      <c r="R137" s="652"/>
      <c r="S137" s="652"/>
      <c r="T137" s="652"/>
      <c r="U137" s="652"/>
      <c r="V137" s="652"/>
      <c r="W137" s="652"/>
      <c r="X137" s="652"/>
      <c r="Y137" s="652"/>
      <c r="Z137" s="652"/>
      <c r="AA137" s="652"/>
      <c r="AB137" s="652"/>
      <c r="AC137" s="652"/>
      <c r="AD137" s="652"/>
      <c r="AE137" s="652"/>
      <c r="AF137" s="652"/>
      <c r="AG137" s="652"/>
      <c r="AH137" s="652"/>
      <c r="AI137" s="652"/>
      <c r="AJ137" s="652"/>
      <c r="AK137" s="652"/>
      <c r="AL137" s="652"/>
      <c r="AM137" s="652"/>
    </row>
    <row r="138" spans="1:39" hidden="1" x14ac:dyDescent="0.2">
      <c r="A138" s="652"/>
      <c r="B138" s="652"/>
      <c r="C138" s="652"/>
      <c r="D138" s="652"/>
      <c r="E138" s="652"/>
      <c r="F138" s="652"/>
      <c r="G138" s="652"/>
      <c r="H138" s="652"/>
      <c r="I138" s="652"/>
      <c r="J138" s="652"/>
      <c r="K138" s="652"/>
      <c r="L138" s="652"/>
      <c r="M138" s="652"/>
      <c r="N138" s="652"/>
      <c r="O138" s="652"/>
      <c r="P138" s="652"/>
      <c r="Q138" s="652"/>
      <c r="R138" s="652"/>
      <c r="S138" s="652"/>
      <c r="T138" s="652"/>
      <c r="U138" s="652"/>
      <c r="V138" s="652"/>
      <c r="W138" s="652"/>
      <c r="X138" s="652"/>
      <c r="Y138" s="652"/>
      <c r="Z138" s="652"/>
      <c r="AA138" s="652"/>
      <c r="AB138" s="652"/>
      <c r="AC138" s="652"/>
      <c r="AD138" s="652"/>
      <c r="AE138" s="652"/>
      <c r="AF138" s="652"/>
      <c r="AG138" s="652"/>
      <c r="AH138" s="652"/>
      <c r="AI138" s="652"/>
      <c r="AJ138" s="652"/>
      <c r="AK138" s="652"/>
      <c r="AL138" s="652"/>
      <c r="AM138" s="652"/>
    </row>
    <row r="139" spans="1:39" hidden="1" x14ac:dyDescent="0.2">
      <c r="A139" s="652"/>
      <c r="B139" s="652"/>
      <c r="C139" s="652"/>
      <c r="D139" s="652"/>
      <c r="E139" s="652"/>
      <c r="F139" s="652"/>
      <c r="G139" s="652"/>
      <c r="H139" s="652"/>
      <c r="I139" s="652"/>
      <c r="J139" s="652"/>
      <c r="K139" s="652"/>
      <c r="L139" s="652"/>
      <c r="M139" s="652"/>
      <c r="N139" s="652"/>
      <c r="O139" s="652"/>
      <c r="P139" s="652"/>
      <c r="Q139" s="652"/>
      <c r="R139" s="652"/>
      <c r="S139" s="652"/>
      <c r="T139" s="652"/>
      <c r="U139" s="652"/>
      <c r="V139" s="652"/>
      <c r="W139" s="652"/>
      <c r="X139" s="652"/>
      <c r="Y139" s="652"/>
      <c r="Z139" s="652"/>
      <c r="AA139" s="652"/>
      <c r="AB139" s="652"/>
      <c r="AC139" s="652"/>
      <c r="AD139" s="652"/>
      <c r="AE139" s="652"/>
      <c r="AF139" s="652"/>
      <c r="AG139" s="652"/>
      <c r="AH139" s="652"/>
      <c r="AI139" s="652"/>
      <c r="AJ139" s="652"/>
      <c r="AK139" s="652"/>
      <c r="AL139" s="652"/>
      <c r="AM139" s="652"/>
    </row>
    <row r="140" spans="1:39" hidden="1" x14ac:dyDescent="0.2">
      <c r="A140" s="652"/>
      <c r="B140" s="652"/>
      <c r="C140" s="652"/>
      <c r="D140" s="652"/>
      <c r="E140" s="652"/>
      <c r="F140" s="652"/>
      <c r="G140" s="652"/>
      <c r="H140" s="652"/>
      <c r="I140" s="652"/>
      <c r="J140" s="652"/>
      <c r="K140" s="652"/>
      <c r="L140" s="652"/>
      <c r="M140" s="652"/>
      <c r="N140" s="652"/>
      <c r="O140" s="652"/>
      <c r="P140" s="652"/>
      <c r="Q140" s="652"/>
      <c r="R140" s="652"/>
      <c r="S140" s="652"/>
      <c r="T140" s="652"/>
      <c r="U140" s="652"/>
      <c r="V140" s="652"/>
      <c r="W140" s="652"/>
      <c r="X140" s="652"/>
      <c r="Y140" s="652"/>
      <c r="Z140" s="652"/>
      <c r="AA140" s="652"/>
      <c r="AB140" s="652"/>
      <c r="AC140" s="652"/>
      <c r="AD140" s="652"/>
      <c r="AE140" s="652"/>
      <c r="AF140" s="652"/>
      <c r="AG140" s="652"/>
      <c r="AH140" s="652"/>
      <c r="AI140" s="652"/>
      <c r="AJ140" s="652"/>
      <c r="AK140" s="652"/>
      <c r="AL140" s="652"/>
      <c r="AM140" s="652"/>
    </row>
    <row r="141" spans="1:39" hidden="1" x14ac:dyDescent="0.2">
      <c r="A141" s="652"/>
      <c r="B141" s="652"/>
      <c r="C141" s="652"/>
      <c r="D141" s="652"/>
      <c r="E141" s="652"/>
      <c r="F141" s="652"/>
      <c r="G141" s="652"/>
      <c r="H141" s="652"/>
      <c r="I141" s="652"/>
      <c r="J141" s="652"/>
      <c r="K141" s="652"/>
      <c r="L141" s="657"/>
      <c r="M141" s="657"/>
      <c r="N141" s="657"/>
      <c r="O141" s="652"/>
      <c r="P141" s="652"/>
      <c r="Q141" s="652"/>
      <c r="R141" s="652"/>
      <c r="S141" s="652"/>
      <c r="T141" s="657"/>
      <c r="U141" s="657"/>
      <c r="V141" s="657"/>
      <c r="W141" s="652"/>
      <c r="X141" s="652"/>
      <c r="Y141" s="652"/>
      <c r="Z141" s="652"/>
      <c r="AA141" s="652"/>
      <c r="AB141" s="652"/>
      <c r="AC141" s="652"/>
      <c r="AD141" s="652"/>
      <c r="AE141" s="652"/>
      <c r="AF141" s="652"/>
      <c r="AG141" s="652"/>
      <c r="AH141" s="652"/>
      <c r="AI141" s="652"/>
      <c r="AJ141" s="652"/>
      <c r="AK141" s="652"/>
      <c r="AL141" s="652"/>
      <c r="AM141" s="652"/>
    </row>
    <row r="142" spans="1:39" hidden="1" x14ac:dyDescent="0.2">
      <c r="A142" s="652"/>
      <c r="B142" s="652"/>
      <c r="C142" s="652"/>
      <c r="D142" s="652"/>
      <c r="E142" s="652"/>
      <c r="F142" s="652"/>
      <c r="G142" s="652"/>
      <c r="H142" s="652"/>
      <c r="I142" s="652"/>
      <c r="J142" s="652"/>
      <c r="K142" s="652"/>
      <c r="L142" s="657"/>
      <c r="M142" s="657"/>
      <c r="N142" s="657"/>
      <c r="O142" s="652"/>
      <c r="P142" s="652"/>
      <c r="Q142" s="652"/>
      <c r="R142" s="652"/>
      <c r="S142" s="652"/>
      <c r="T142" s="657"/>
      <c r="U142" s="657"/>
      <c r="V142" s="657"/>
      <c r="W142" s="652"/>
      <c r="X142" s="652"/>
      <c r="Y142" s="652"/>
      <c r="Z142" s="652"/>
      <c r="AA142" s="652"/>
      <c r="AB142" s="652"/>
      <c r="AC142" s="652"/>
      <c r="AD142" s="652"/>
      <c r="AE142" s="652"/>
      <c r="AF142" s="652"/>
      <c r="AG142" s="652"/>
      <c r="AH142" s="652"/>
      <c r="AI142" s="652"/>
      <c r="AJ142" s="652"/>
      <c r="AK142" s="652"/>
      <c r="AL142" s="652"/>
      <c r="AM142" s="652"/>
    </row>
    <row r="143" spans="1:39" hidden="1" x14ac:dyDescent="0.2">
      <c r="A143" s="652"/>
      <c r="B143" s="652"/>
      <c r="C143" s="652"/>
      <c r="D143" s="652"/>
      <c r="E143" s="652"/>
      <c r="F143" s="652"/>
      <c r="G143" s="652"/>
      <c r="H143" s="652"/>
      <c r="I143" s="652"/>
      <c r="J143" s="652"/>
      <c r="K143" s="652"/>
      <c r="L143" s="657"/>
      <c r="M143" s="657"/>
      <c r="N143" s="657"/>
      <c r="O143" s="652"/>
      <c r="P143" s="652"/>
      <c r="Q143" s="652"/>
      <c r="R143" s="652"/>
      <c r="S143" s="652"/>
      <c r="T143" s="657"/>
      <c r="U143" s="657"/>
      <c r="V143" s="657"/>
      <c r="W143" s="652"/>
      <c r="X143" s="652"/>
      <c r="Y143" s="652"/>
      <c r="Z143" s="652"/>
      <c r="AA143" s="652"/>
      <c r="AB143" s="652"/>
      <c r="AC143" s="652"/>
      <c r="AD143" s="652"/>
      <c r="AE143" s="652"/>
      <c r="AF143" s="652"/>
      <c r="AG143" s="652"/>
      <c r="AH143" s="652"/>
      <c r="AI143" s="652"/>
      <c r="AJ143" s="652"/>
      <c r="AK143" s="652"/>
      <c r="AL143" s="652"/>
      <c r="AM143" s="652"/>
    </row>
    <row r="144" spans="1:39" hidden="1" x14ac:dyDescent="0.2">
      <c r="A144" s="652"/>
      <c r="B144" s="652"/>
      <c r="C144" s="652"/>
      <c r="D144" s="652"/>
      <c r="E144" s="652"/>
      <c r="F144" s="652"/>
      <c r="G144" s="652"/>
      <c r="H144" s="652"/>
      <c r="I144" s="652"/>
      <c r="J144" s="652"/>
      <c r="K144" s="652"/>
      <c r="L144" s="657"/>
      <c r="M144" s="657"/>
      <c r="N144" s="657"/>
      <c r="O144" s="652"/>
      <c r="P144" s="652"/>
      <c r="Q144" s="652"/>
      <c r="R144" s="652"/>
      <c r="S144" s="652"/>
      <c r="T144" s="657"/>
      <c r="U144" s="657"/>
      <c r="V144" s="657"/>
      <c r="W144" s="652"/>
      <c r="X144" s="652"/>
      <c r="Y144" s="652"/>
      <c r="Z144" s="652"/>
      <c r="AA144" s="652"/>
      <c r="AB144" s="652"/>
      <c r="AC144" s="652"/>
      <c r="AD144" s="652"/>
      <c r="AE144" s="652"/>
      <c r="AF144" s="652"/>
      <c r="AG144" s="652"/>
      <c r="AH144" s="652"/>
      <c r="AI144" s="652"/>
      <c r="AJ144" s="652"/>
      <c r="AK144" s="652"/>
      <c r="AL144" s="652"/>
      <c r="AM144" s="652"/>
    </row>
    <row r="145" spans="1:39"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652"/>
      <c r="AF145" s="652"/>
      <c r="AG145" s="652"/>
      <c r="AH145" s="652"/>
      <c r="AI145" s="652"/>
      <c r="AJ145" s="652"/>
      <c r="AK145" s="652"/>
      <c r="AL145" s="652"/>
      <c r="AM145" s="652"/>
    </row>
    <row r="146" spans="1:39"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652"/>
      <c r="AF146" s="652"/>
      <c r="AG146" s="652"/>
      <c r="AH146" s="652"/>
      <c r="AI146" s="652"/>
      <c r="AJ146" s="652"/>
      <c r="AK146" s="652"/>
      <c r="AL146" s="652"/>
      <c r="AM146" s="652"/>
    </row>
    <row r="147" spans="1:39"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c r="AI148" s="652"/>
      <c r="AJ148" s="652"/>
      <c r="AK148" s="652"/>
      <c r="AL148" s="652"/>
      <c r="AM148" s="652"/>
    </row>
    <row r="149" spans="1:39"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c r="AH149" s="652"/>
      <c r="AI149" s="652"/>
      <c r="AJ149" s="652"/>
      <c r="AK149" s="652"/>
      <c r="AL149" s="652"/>
      <c r="AM149" s="652"/>
    </row>
    <row r="150" spans="1:39" hidden="1" x14ac:dyDescent="0.2">
      <c r="A150" s="652"/>
      <c r="B150" s="652"/>
      <c r="C150" s="652"/>
      <c r="D150" s="652"/>
      <c r="E150" s="652"/>
      <c r="F150" s="652"/>
      <c r="G150" s="652"/>
      <c r="H150" s="652"/>
      <c r="I150" s="652"/>
      <c r="J150" s="652"/>
      <c r="K150" s="652"/>
      <c r="L150" s="657"/>
      <c r="M150" s="657"/>
      <c r="N150" s="657"/>
      <c r="O150" s="652"/>
      <c r="P150" s="652"/>
      <c r="Q150" s="652"/>
      <c r="R150" s="652"/>
      <c r="S150" s="652"/>
      <c r="T150" s="657"/>
      <c r="U150" s="657"/>
      <c r="V150" s="657"/>
      <c r="W150" s="652"/>
      <c r="X150" s="652"/>
      <c r="Y150" s="652"/>
      <c r="Z150" s="652"/>
      <c r="AA150" s="652"/>
      <c r="AB150" s="652"/>
      <c r="AC150" s="652"/>
      <c r="AD150" s="652"/>
      <c r="AE150" s="652"/>
      <c r="AF150" s="652"/>
      <c r="AG150" s="652"/>
      <c r="AH150" s="652"/>
      <c r="AI150" s="652"/>
      <c r="AJ150" s="652"/>
      <c r="AK150" s="652"/>
      <c r="AL150" s="652"/>
      <c r="AM150" s="652"/>
    </row>
    <row r="151" spans="1:39" hidden="1" x14ac:dyDescent="0.2">
      <c r="A151" s="652"/>
      <c r="B151" s="652"/>
      <c r="C151" s="652"/>
      <c r="D151" s="652"/>
      <c r="E151" s="652"/>
      <c r="F151" s="652"/>
      <c r="G151" s="652"/>
      <c r="H151" s="652"/>
      <c r="I151" s="652"/>
      <c r="J151" s="652"/>
      <c r="K151" s="652"/>
      <c r="L151" s="657"/>
      <c r="M151" s="657"/>
      <c r="N151" s="657"/>
      <c r="O151" s="652"/>
      <c r="P151" s="652"/>
      <c r="Q151" s="652"/>
      <c r="R151" s="652"/>
      <c r="S151" s="652"/>
      <c r="T151" s="657"/>
      <c r="U151" s="657"/>
      <c r="V151" s="657"/>
      <c r="W151" s="652"/>
      <c r="X151" s="652"/>
      <c r="Y151" s="652"/>
      <c r="Z151" s="652"/>
      <c r="AA151" s="652"/>
      <c r="AB151" s="652"/>
      <c r="AC151" s="652"/>
      <c r="AD151" s="652"/>
      <c r="AE151" s="652"/>
      <c r="AF151" s="652"/>
      <c r="AG151" s="652"/>
      <c r="AH151" s="652"/>
      <c r="AI151" s="652"/>
      <c r="AJ151" s="652"/>
      <c r="AK151" s="652"/>
      <c r="AL151" s="652"/>
      <c r="AM151" s="652"/>
    </row>
    <row r="152" spans="1:39" hidden="1" x14ac:dyDescent="0.2">
      <c r="A152" s="652"/>
      <c r="B152" s="652"/>
      <c r="C152" s="652"/>
      <c r="D152" s="652"/>
      <c r="E152" s="652"/>
      <c r="F152" s="652"/>
      <c r="G152" s="652"/>
      <c r="H152" s="652"/>
      <c r="I152" s="652"/>
      <c r="J152" s="652"/>
      <c r="K152" s="652"/>
      <c r="L152" s="657"/>
      <c r="M152" s="657"/>
      <c r="N152" s="657"/>
      <c r="O152" s="652"/>
      <c r="P152" s="652"/>
      <c r="Q152" s="652"/>
      <c r="R152" s="652"/>
      <c r="S152" s="652"/>
      <c r="T152" s="657"/>
      <c r="U152" s="657"/>
      <c r="V152" s="657"/>
      <c r="W152" s="652"/>
      <c r="X152" s="652"/>
      <c r="Y152" s="652"/>
      <c r="Z152" s="652"/>
      <c r="AA152" s="652"/>
      <c r="AB152" s="652"/>
      <c r="AC152" s="652"/>
      <c r="AD152" s="652"/>
      <c r="AE152" s="652"/>
      <c r="AF152" s="652"/>
      <c r="AG152" s="652"/>
      <c r="AH152" s="652"/>
      <c r="AI152" s="652"/>
      <c r="AJ152" s="652"/>
      <c r="AK152" s="652"/>
      <c r="AL152" s="652"/>
      <c r="AM152" s="652"/>
    </row>
    <row r="153" spans="1:39" hidden="1" x14ac:dyDescent="0.2">
      <c r="A153" s="652"/>
      <c r="B153" s="652"/>
      <c r="C153" s="652"/>
      <c r="D153" s="652"/>
      <c r="E153" s="652"/>
      <c r="F153" s="652"/>
      <c r="G153" s="652"/>
      <c r="H153" s="652"/>
      <c r="I153" s="652"/>
      <c r="J153" s="652"/>
      <c r="K153" s="652"/>
      <c r="L153" s="657"/>
      <c r="M153" s="657"/>
      <c r="N153" s="657"/>
      <c r="O153" s="652"/>
      <c r="P153" s="652"/>
      <c r="Q153" s="652"/>
      <c r="R153" s="652"/>
      <c r="S153" s="652"/>
      <c r="T153" s="657"/>
      <c r="U153" s="657"/>
      <c r="V153" s="657"/>
      <c r="W153" s="652"/>
      <c r="X153" s="652"/>
      <c r="Y153" s="652"/>
      <c r="Z153" s="652"/>
      <c r="AA153" s="652"/>
      <c r="AB153" s="652"/>
      <c r="AC153" s="652"/>
      <c r="AD153" s="652"/>
      <c r="AE153" s="652"/>
      <c r="AF153" s="652"/>
      <c r="AG153" s="652"/>
      <c r="AH153" s="652"/>
      <c r="AI153" s="652"/>
      <c r="AJ153" s="652"/>
      <c r="AK153" s="652"/>
      <c r="AL153" s="652"/>
      <c r="AM153" s="652"/>
    </row>
    <row r="154" spans="1:39" hidden="1" x14ac:dyDescent="0.2">
      <c r="A154" s="652"/>
      <c r="B154" s="652"/>
      <c r="C154" s="652"/>
      <c r="D154" s="652"/>
      <c r="E154" s="652"/>
      <c r="F154" s="652"/>
      <c r="G154" s="652"/>
      <c r="H154" s="652"/>
      <c r="I154" s="652"/>
      <c r="J154" s="652"/>
      <c r="K154" s="652"/>
      <c r="L154" s="657"/>
      <c r="M154" s="657"/>
      <c r="N154" s="657"/>
      <c r="O154" s="652"/>
      <c r="P154" s="652"/>
      <c r="Q154" s="652"/>
      <c r="R154" s="652"/>
      <c r="S154" s="652"/>
      <c r="T154" s="657"/>
      <c r="U154" s="657"/>
      <c r="V154" s="657"/>
      <c r="W154" s="652"/>
      <c r="X154" s="652"/>
      <c r="Y154" s="652"/>
      <c r="Z154" s="652"/>
      <c r="AA154" s="652"/>
      <c r="AB154" s="652"/>
      <c r="AC154" s="652"/>
      <c r="AD154" s="652"/>
      <c r="AE154" s="652"/>
      <c r="AF154" s="652"/>
      <c r="AG154" s="652"/>
      <c r="AH154" s="652"/>
      <c r="AI154" s="652"/>
      <c r="AJ154" s="652"/>
      <c r="AK154" s="652"/>
      <c r="AL154" s="652"/>
      <c r="AM154" s="652"/>
    </row>
    <row r="155" spans="1:39" hidden="1" x14ac:dyDescent="0.2">
      <c r="A155" s="652"/>
      <c r="B155" s="652"/>
      <c r="C155" s="652"/>
      <c r="D155" s="652"/>
      <c r="E155" s="652"/>
      <c r="F155" s="652"/>
      <c r="G155" s="652"/>
      <c r="H155" s="652"/>
      <c r="I155" s="652"/>
      <c r="J155" s="652"/>
      <c r="K155" s="652"/>
      <c r="L155" s="657"/>
      <c r="M155" s="657"/>
      <c r="N155" s="657"/>
      <c r="O155" s="652"/>
      <c r="P155" s="652"/>
      <c r="Q155" s="652"/>
      <c r="R155" s="652"/>
      <c r="S155" s="652"/>
      <c r="T155" s="657"/>
      <c r="U155" s="657"/>
      <c r="V155" s="657"/>
      <c r="W155" s="652"/>
      <c r="X155" s="652"/>
      <c r="Y155" s="652"/>
      <c r="Z155" s="652"/>
      <c r="AA155" s="652"/>
      <c r="AB155" s="652"/>
      <c r="AC155" s="652"/>
      <c r="AD155" s="652"/>
      <c r="AE155" s="652"/>
      <c r="AF155" s="652"/>
      <c r="AG155" s="652"/>
      <c r="AH155" s="652"/>
      <c r="AI155" s="652"/>
      <c r="AJ155" s="652"/>
      <c r="AK155" s="652"/>
      <c r="AL155" s="652"/>
      <c r="AM155" s="652"/>
    </row>
    <row r="156" spans="1:39" hidden="1" x14ac:dyDescent="0.2">
      <c r="A156" s="652"/>
      <c r="B156" s="652"/>
      <c r="C156" s="652"/>
      <c r="D156" s="652"/>
      <c r="E156" s="652"/>
      <c r="F156" s="652"/>
      <c r="G156" s="652"/>
      <c r="H156" s="652"/>
      <c r="I156" s="652"/>
      <c r="J156" s="652"/>
      <c r="K156" s="652"/>
      <c r="L156" s="657"/>
      <c r="M156" s="657"/>
      <c r="N156" s="657"/>
      <c r="O156" s="652"/>
      <c r="P156" s="652"/>
      <c r="Q156" s="652"/>
      <c r="R156" s="652"/>
      <c r="S156" s="652"/>
      <c r="T156" s="657"/>
      <c r="U156" s="657"/>
      <c r="V156" s="657"/>
      <c r="W156" s="652"/>
      <c r="X156" s="652"/>
      <c r="Y156" s="652"/>
      <c r="Z156" s="652"/>
      <c r="AA156" s="652"/>
      <c r="AB156" s="652"/>
      <c r="AC156" s="652"/>
      <c r="AD156" s="652"/>
      <c r="AE156" s="652"/>
      <c r="AF156" s="652"/>
      <c r="AG156" s="652"/>
      <c r="AH156" s="652"/>
      <c r="AI156" s="652"/>
      <c r="AJ156" s="652"/>
      <c r="AK156" s="652"/>
      <c r="AL156" s="652"/>
      <c r="AM156" s="652"/>
    </row>
    <row r="157" spans="1:39" hidden="1" x14ac:dyDescent="0.2">
      <c r="A157" s="652"/>
      <c r="B157" s="652"/>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652"/>
      <c r="AK157" s="652"/>
      <c r="AL157" s="652"/>
      <c r="AM157" s="652"/>
    </row>
    <row r="158" spans="1:39" hidden="1" x14ac:dyDescent="0.2">
      <c r="A158" s="652"/>
      <c r="B158" s="652"/>
      <c r="C158" s="652"/>
      <c r="D158" s="652"/>
      <c r="E158" s="652"/>
      <c r="F158" s="652"/>
      <c r="G158" s="652"/>
      <c r="H158" s="652"/>
      <c r="I158" s="652"/>
      <c r="J158" s="652"/>
      <c r="K158" s="652"/>
      <c r="L158" s="652"/>
      <c r="M158" s="652"/>
      <c r="N158" s="652"/>
      <c r="O158" s="652"/>
      <c r="P158" s="652"/>
      <c r="Q158" s="652"/>
      <c r="R158" s="652"/>
      <c r="S158" s="652"/>
      <c r="T158" s="652"/>
      <c r="U158" s="652"/>
      <c r="V158" s="652"/>
      <c r="W158" s="652"/>
      <c r="X158" s="652"/>
      <c r="Y158" s="652"/>
      <c r="Z158" s="652"/>
      <c r="AA158" s="652"/>
      <c r="AB158" s="652"/>
      <c r="AC158" s="652"/>
      <c r="AD158" s="652"/>
      <c r="AE158" s="652"/>
      <c r="AF158" s="652"/>
      <c r="AG158" s="652"/>
      <c r="AH158" s="652"/>
      <c r="AI158" s="652"/>
      <c r="AJ158" s="652"/>
      <c r="AK158" s="652"/>
      <c r="AL158" s="652"/>
      <c r="AM158" s="652"/>
    </row>
    <row r="159" spans="1:39" hidden="1" x14ac:dyDescent="0.2">
      <c r="A159" s="652"/>
      <c r="B159" s="652"/>
      <c r="C159" s="652"/>
      <c r="D159" s="652"/>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652"/>
      <c r="AF159" s="652"/>
      <c r="AG159" s="652"/>
      <c r="AH159" s="652"/>
      <c r="AI159" s="652"/>
      <c r="AJ159" s="652"/>
      <c r="AK159" s="652"/>
      <c r="AL159" s="652"/>
      <c r="AM159" s="652"/>
    </row>
    <row r="160" spans="1:39" hidden="1" x14ac:dyDescent="0.2">
      <c r="A160" s="652"/>
      <c r="B160" s="652"/>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row>
    <row r="161" spans="1:39"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row>
    <row r="162" spans="1:39" hidden="1" x14ac:dyDescent="0.2">
      <c r="A162" s="652"/>
      <c r="B162" s="652"/>
      <c r="C162" s="652"/>
      <c r="D162" s="652"/>
      <c r="E162" s="652"/>
      <c r="F162" s="652"/>
      <c r="G162" s="652"/>
      <c r="H162" s="652"/>
      <c r="I162" s="652"/>
      <c r="J162" s="652"/>
      <c r="K162" s="652"/>
      <c r="L162" s="652"/>
      <c r="M162" s="652"/>
      <c r="N162" s="652"/>
      <c r="O162" s="652"/>
      <c r="P162" s="652"/>
      <c r="Q162" s="652"/>
      <c r="R162" s="652"/>
      <c r="S162" s="652"/>
      <c r="T162" s="652"/>
      <c r="U162" s="652"/>
      <c r="V162" s="652"/>
      <c r="W162" s="652"/>
      <c r="X162" s="652"/>
      <c r="Y162" s="652"/>
      <c r="Z162" s="652"/>
      <c r="AA162" s="652"/>
      <c r="AB162" s="652"/>
      <c r="AC162" s="652"/>
      <c r="AD162" s="652"/>
      <c r="AE162" s="652"/>
      <c r="AF162" s="652"/>
      <c r="AG162" s="652"/>
      <c r="AH162" s="652"/>
      <c r="AI162" s="652"/>
      <c r="AJ162" s="652"/>
      <c r="AK162" s="652"/>
      <c r="AL162" s="652"/>
      <c r="AM162" s="652"/>
    </row>
    <row r="163" spans="1:39" hidden="1" x14ac:dyDescent="0.2">
      <c r="A163" s="652"/>
      <c r="B163" s="652"/>
      <c r="C163" s="652"/>
      <c r="D163" s="652"/>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52"/>
      <c r="AE163" s="652"/>
      <c r="AF163" s="652"/>
      <c r="AG163" s="652"/>
      <c r="AH163" s="652"/>
      <c r="AI163" s="652"/>
      <c r="AJ163" s="652"/>
      <c r="AK163" s="652"/>
      <c r="AL163" s="652"/>
      <c r="AM163" s="652"/>
    </row>
    <row r="164" spans="1:39" hidden="1" x14ac:dyDescent="0.2">
      <c r="A164" s="652"/>
      <c r="B164" s="652"/>
      <c r="C164" s="652"/>
      <c r="D164" s="652"/>
      <c r="E164" s="652"/>
      <c r="F164" s="652"/>
      <c r="G164" s="652"/>
      <c r="H164" s="652"/>
      <c r="I164" s="652"/>
      <c r="J164" s="652"/>
      <c r="K164" s="652"/>
      <c r="L164" s="652"/>
      <c r="M164" s="652"/>
      <c r="N164" s="652"/>
      <c r="O164" s="652"/>
      <c r="P164" s="652"/>
      <c r="Q164" s="652"/>
      <c r="R164" s="652"/>
      <c r="S164" s="652"/>
      <c r="T164" s="652"/>
      <c r="U164" s="652"/>
      <c r="V164" s="652"/>
      <c r="W164" s="652"/>
      <c r="X164" s="652"/>
      <c r="Y164" s="652"/>
      <c r="Z164" s="652"/>
      <c r="AA164" s="652"/>
      <c r="AB164" s="652"/>
      <c r="AC164" s="652"/>
      <c r="AD164" s="652"/>
      <c r="AE164" s="652"/>
      <c r="AF164" s="652"/>
      <c r="AG164" s="652"/>
      <c r="AH164" s="652"/>
      <c r="AI164" s="652"/>
      <c r="AJ164" s="652"/>
      <c r="AK164" s="652"/>
      <c r="AL164" s="652"/>
      <c r="AM164" s="652"/>
    </row>
    <row r="165" spans="1:39" hidden="1" x14ac:dyDescent="0.2">
      <c r="A165" s="652"/>
      <c r="B165" s="652"/>
      <c r="C165" s="652"/>
      <c r="D165" s="652"/>
      <c r="E165" s="652"/>
      <c r="F165" s="652"/>
      <c r="G165" s="652"/>
      <c r="H165" s="652"/>
      <c r="I165" s="652"/>
      <c r="J165" s="652"/>
      <c r="K165" s="652"/>
      <c r="L165" s="652"/>
      <c r="M165" s="652"/>
      <c r="N165" s="652"/>
      <c r="O165" s="652"/>
      <c r="P165" s="652"/>
      <c r="Q165" s="652"/>
      <c r="R165" s="652"/>
      <c r="S165" s="652"/>
      <c r="T165" s="652"/>
      <c r="U165" s="652"/>
      <c r="V165" s="652"/>
      <c r="W165" s="652"/>
      <c r="X165" s="652"/>
      <c r="Y165" s="652"/>
      <c r="Z165" s="652"/>
      <c r="AA165" s="652"/>
      <c r="AB165" s="652"/>
      <c r="AC165" s="652"/>
      <c r="AD165" s="652"/>
      <c r="AE165" s="652"/>
      <c r="AF165" s="652"/>
      <c r="AG165" s="652"/>
      <c r="AH165" s="652"/>
      <c r="AI165" s="652"/>
      <c r="AJ165" s="652"/>
      <c r="AK165" s="652"/>
      <c r="AL165" s="652"/>
      <c r="AM165" s="652"/>
    </row>
    <row r="166" spans="1:39" hidden="1" x14ac:dyDescent="0.2">
      <c r="A166" s="652"/>
      <c r="B166" s="652"/>
      <c r="C166" s="652"/>
      <c r="D166" s="652"/>
      <c r="E166" s="652"/>
      <c r="F166" s="652"/>
      <c r="G166" s="652"/>
      <c r="H166" s="652"/>
      <c r="I166" s="652"/>
      <c r="J166" s="652"/>
      <c r="K166" s="652"/>
      <c r="L166" s="652"/>
      <c r="M166" s="652"/>
      <c r="N166" s="652"/>
      <c r="O166" s="652"/>
      <c r="P166" s="652"/>
      <c r="Q166" s="652"/>
      <c r="R166" s="652"/>
      <c r="S166" s="652"/>
      <c r="T166" s="652"/>
      <c r="U166" s="652"/>
      <c r="V166" s="652"/>
      <c r="W166" s="652"/>
      <c r="X166" s="652"/>
      <c r="Y166" s="652"/>
      <c r="Z166" s="652"/>
      <c r="AA166" s="652"/>
      <c r="AB166" s="652"/>
      <c r="AC166" s="652"/>
      <c r="AD166" s="652"/>
      <c r="AE166" s="652"/>
      <c r="AF166" s="652"/>
      <c r="AG166" s="652"/>
      <c r="AH166" s="652"/>
      <c r="AI166" s="652"/>
      <c r="AJ166" s="652"/>
      <c r="AK166" s="652"/>
      <c r="AL166" s="652"/>
      <c r="AM166" s="652"/>
    </row>
    <row r="167" spans="1:39" hidden="1" x14ac:dyDescent="0.2">
      <c r="A167" s="652"/>
      <c r="B167" s="652"/>
      <c r="C167" s="652"/>
      <c r="D167" s="652"/>
      <c r="E167" s="652"/>
      <c r="F167" s="652"/>
      <c r="G167" s="652"/>
      <c r="H167" s="652"/>
      <c r="I167" s="652"/>
      <c r="J167" s="652"/>
      <c r="K167" s="652"/>
      <c r="L167" s="652"/>
      <c r="M167" s="652"/>
      <c r="N167" s="652"/>
      <c r="O167" s="652"/>
      <c r="P167" s="652"/>
      <c r="Q167" s="652"/>
      <c r="R167" s="652"/>
      <c r="S167" s="652"/>
      <c r="T167" s="652"/>
      <c r="U167" s="652"/>
      <c r="V167" s="652"/>
      <c r="W167" s="652"/>
      <c r="X167" s="652"/>
      <c r="Y167" s="652"/>
      <c r="Z167" s="652"/>
      <c r="AA167" s="652"/>
      <c r="AB167" s="652"/>
      <c r="AC167" s="652"/>
      <c r="AD167" s="652"/>
      <c r="AE167" s="652"/>
      <c r="AF167" s="652"/>
      <c r="AG167" s="652"/>
      <c r="AH167" s="652"/>
      <c r="AI167" s="652"/>
      <c r="AJ167" s="652"/>
      <c r="AK167" s="652"/>
      <c r="AL167" s="652"/>
      <c r="AM167" s="652"/>
    </row>
    <row r="168" spans="1:39" hidden="1" x14ac:dyDescent="0.2">
      <c r="A168" s="652"/>
      <c r="B168" s="652"/>
      <c r="C168" s="652"/>
      <c r="D168" s="652"/>
      <c r="E168" s="652"/>
      <c r="F168" s="652"/>
      <c r="G168" s="652"/>
      <c r="H168" s="652"/>
      <c r="I168" s="652"/>
      <c r="J168" s="652"/>
      <c r="K168" s="652"/>
      <c r="L168" s="652"/>
      <c r="M168" s="652"/>
      <c r="N168" s="652"/>
      <c r="O168" s="652"/>
      <c r="P168" s="652"/>
      <c r="Q168" s="652"/>
      <c r="R168" s="652"/>
      <c r="S168" s="652"/>
      <c r="T168" s="652"/>
      <c r="U168" s="652"/>
      <c r="V168" s="652"/>
      <c r="W168" s="652"/>
      <c r="X168" s="652"/>
      <c r="Y168" s="652"/>
      <c r="Z168" s="652"/>
      <c r="AA168" s="652"/>
      <c r="AB168" s="652"/>
      <c r="AC168" s="652"/>
      <c r="AD168" s="652"/>
      <c r="AE168" s="652"/>
      <c r="AF168" s="652"/>
      <c r="AG168" s="652"/>
      <c r="AH168" s="652"/>
      <c r="AI168" s="652"/>
      <c r="AJ168" s="652"/>
      <c r="AK168" s="652"/>
      <c r="AL168" s="652"/>
      <c r="AM168" s="652"/>
    </row>
    <row r="169" spans="1:39" hidden="1" x14ac:dyDescent="0.2">
      <c r="A169" s="652"/>
      <c r="B169" s="652"/>
      <c r="C169" s="652"/>
      <c r="D169" s="652"/>
      <c r="E169" s="652"/>
      <c r="F169" s="652"/>
      <c r="G169" s="652"/>
      <c r="H169" s="652"/>
      <c r="I169" s="652"/>
      <c r="J169" s="652"/>
      <c r="K169" s="652"/>
      <c r="L169" s="652"/>
      <c r="M169" s="652"/>
      <c r="N169" s="652"/>
      <c r="O169" s="652"/>
      <c r="P169" s="652"/>
      <c r="Q169" s="652"/>
      <c r="R169" s="652"/>
      <c r="S169" s="652"/>
      <c r="T169" s="652"/>
      <c r="U169" s="652"/>
      <c r="V169" s="652"/>
      <c r="W169" s="652"/>
      <c r="X169" s="652"/>
      <c r="Y169" s="652"/>
      <c r="Z169" s="652"/>
      <c r="AA169" s="652"/>
      <c r="AB169" s="652"/>
      <c r="AC169" s="652"/>
      <c r="AD169" s="652"/>
      <c r="AE169" s="652"/>
      <c r="AF169" s="652"/>
      <c r="AG169" s="652"/>
      <c r="AH169" s="652"/>
      <c r="AI169" s="652"/>
      <c r="AJ169" s="652"/>
      <c r="AK169" s="652"/>
      <c r="AL169" s="652"/>
      <c r="AM169" s="652"/>
    </row>
    <row r="170" spans="1:39" hidden="1" x14ac:dyDescent="0.2">
      <c r="A170" s="652"/>
      <c r="B170" s="652"/>
      <c r="C170" s="652"/>
      <c r="D170" s="652"/>
      <c r="E170" s="652"/>
      <c r="F170" s="652"/>
      <c r="G170" s="652"/>
      <c r="H170" s="652"/>
      <c r="I170" s="652"/>
      <c r="J170" s="652"/>
      <c r="K170" s="652"/>
      <c r="L170" s="657"/>
      <c r="M170" s="657"/>
      <c r="N170" s="657"/>
      <c r="O170" s="652"/>
      <c r="P170" s="652"/>
      <c r="Q170" s="652"/>
      <c r="R170" s="652"/>
      <c r="S170" s="652"/>
      <c r="T170" s="657"/>
      <c r="U170" s="657"/>
      <c r="V170" s="657"/>
      <c r="W170" s="652"/>
      <c r="X170" s="652"/>
      <c r="Y170" s="652"/>
      <c r="Z170" s="652"/>
      <c r="AA170" s="652"/>
      <c r="AB170" s="652"/>
      <c r="AC170" s="652"/>
      <c r="AD170" s="652"/>
      <c r="AE170" s="652"/>
      <c r="AF170" s="652"/>
      <c r="AG170" s="652"/>
      <c r="AH170" s="652"/>
      <c r="AI170" s="652"/>
      <c r="AJ170" s="652"/>
      <c r="AK170" s="652"/>
      <c r="AL170" s="652"/>
      <c r="AM170" s="652"/>
    </row>
    <row r="171" spans="1:39" hidden="1" x14ac:dyDescent="0.2">
      <c r="A171" s="652"/>
      <c r="B171" s="652"/>
      <c r="C171" s="652"/>
      <c r="D171" s="652"/>
      <c r="E171" s="652"/>
      <c r="F171" s="652"/>
      <c r="G171" s="652"/>
      <c r="H171" s="652"/>
      <c r="I171" s="652"/>
      <c r="J171" s="652"/>
      <c r="K171" s="652"/>
      <c r="L171" s="657"/>
      <c r="M171" s="657"/>
      <c r="N171" s="657"/>
      <c r="O171" s="652"/>
      <c r="P171" s="652"/>
      <c r="Q171" s="652"/>
      <c r="R171" s="652"/>
      <c r="S171" s="652"/>
      <c r="T171" s="657"/>
      <c r="U171" s="657"/>
      <c r="V171" s="657"/>
      <c r="W171" s="652"/>
      <c r="X171" s="652"/>
      <c r="Y171" s="652"/>
      <c r="Z171" s="652"/>
      <c r="AA171" s="652"/>
      <c r="AB171" s="652"/>
      <c r="AC171" s="652"/>
      <c r="AD171" s="652"/>
      <c r="AE171" s="652"/>
      <c r="AF171" s="652"/>
      <c r="AG171" s="652"/>
      <c r="AH171" s="652"/>
      <c r="AI171" s="652"/>
      <c r="AJ171" s="652"/>
      <c r="AK171" s="652"/>
      <c r="AL171" s="652"/>
      <c r="AM171" s="652"/>
    </row>
    <row r="172" spans="1:39" hidden="1" x14ac:dyDescent="0.2">
      <c r="A172" s="652"/>
      <c r="B172" s="652"/>
      <c r="C172" s="652"/>
      <c r="D172" s="652"/>
      <c r="E172" s="652"/>
      <c r="F172" s="652"/>
      <c r="G172" s="652"/>
      <c r="H172" s="652"/>
      <c r="I172" s="652"/>
      <c r="J172" s="652"/>
      <c r="K172" s="652"/>
      <c r="L172" s="657"/>
      <c r="M172" s="657"/>
      <c r="N172" s="657"/>
      <c r="O172" s="652"/>
      <c r="P172" s="652"/>
      <c r="Q172" s="652"/>
      <c r="R172" s="652"/>
      <c r="S172" s="652"/>
      <c r="T172" s="657"/>
      <c r="U172" s="657"/>
      <c r="V172" s="657"/>
      <c r="W172" s="652"/>
      <c r="X172" s="652"/>
      <c r="Y172" s="652"/>
      <c r="Z172" s="652"/>
      <c r="AA172" s="652"/>
      <c r="AB172" s="652"/>
      <c r="AC172" s="652"/>
      <c r="AD172" s="652"/>
      <c r="AE172" s="652"/>
      <c r="AF172" s="652"/>
      <c r="AG172" s="652"/>
      <c r="AH172" s="652"/>
      <c r="AI172" s="652"/>
      <c r="AJ172" s="652"/>
      <c r="AK172" s="652"/>
      <c r="AL172" s="652"/>
      <c r="AM172" s="652"/>
    </row>
    <row r="173" spans="1:39" hidden="1" x14ac:dyDescent="0.2">
      <c r="A173" s="652"/>
      <c r="B173" s="652"/>
      <c r="C173" s="652"/>
      <c r="D173" s="652"/>
      <c r="E173" s="652"/>
      <c r="F173" s="652"/>
      <c r="G173" s="652"/>
      <c r="H173" s="652"/>
      <c r="I173" s="652"/>
      <c r="J173" s="652"/>
      <c r="K173" s="652"/>
      <c r="L173" s="657"/>
      <c r="M173" s="657"/>
      <c r="N173" s="657"/>
      <c r="O173" s="652"/>
      <c r="P173" s="652"/>
      <c r="Q173" s="652"/>
      <c r="R173" s="652"/>
      <c r="S173" s="652"/>
      <c r="T173" s="657"/>
      <c r="U173" s="657"/>
      <c r="V173" s="657"/>
      <c r="W173" s="652"/>
      <c r="X173" s="652"/>
      <c r="Y173" s="652"/>
      <c r="Z173" s="652"/>
      <c r="AA173" s="652"/>
      <c r="AB173" s="652"/>
      <c r="AC173" s="652"/>
      <c r="AD173" s="652"/>
      <c r="AE173" s="652"/>
      <c r="AF173" s="652"/>
      <c r="AG173" s="652"/>
      <c r="AH173" s="652"/>
      <c r="AI173" s="652"/>
      <c r="AJ173" s="652"/>
      <c r="AK173" s="652"/>
      <c r="AL173" s="652"/>
      <c r="AM173" s="652"/>
    </row>
    <row r="174" spans="1:39"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652"/>
      <c r="AF174" s="652"/>
      <c r="AG174" s="652"/>
      <c r="AH174" s="652"/>
      <c r="AI174" s="652"/>
      <c r="AJ174" s="652"/>
      <c r="AK174" s="652"/>
      <c r="AL174" s="652"/>
      <c r="AM174" s="652"/>
    </row>
    <row r="175" spans="1:39"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652"/>
      <c r="AF175" s="652"/>
      <c r="AG175" s="652"/>
      <c r="AH175" s="652"/>
      <c r="AI175" s="652"/>
      <c r="AJ175" s="652"/>
      <c r="AK175" s="652"/>
      <c r="AL175" s="652"/>
      <c r="AM175" s="652"/>
    </row>
    <row r="176" spans="1:39"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c r="AI284" s="652"/>
      <c r="AJ284" s="652"/>
      <c r="AK284" s="652"/>
      <c r="AL284" s="652"/>
      <c r="AM284" s="652"/>
    </row>
    <row r="285" spans="1:39"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c r="AH285" s="652"/>
      <c r="AI285" s="652"/>
      <c r="AJ285" s="652"/>
      <c r="AK285" s="652"/>
      <c r="AL285" s="652"/>
      <c r="AM285" s="652"/>
    </row>
    <row r="286" spans="1:39" hidden="1" x14ac:dyDescent="0.2">
      <c r="A286" s="652"/>
      <c r="B286" s="652"/>
      <c r="C286" s="652"/>
      <c r="D286" s="652"/>
      <c r="E286" s="652"/>
      <c r="F286" s="652"/>
      <c r="G286" s="652"/>
      <c r="H286" s="652"/>
      <c r="I286" s="652"/>
      <c r="J286" s="652"/>
      <c r="K286" s="652"/>
      <c r="L286" s="657"/>
      <c r="M286" s="657"/>
      <c r="N286" s="657"/>
      <c r="O286" s="652"/>
      <c r="P286" s="652"/>
      <c r="Q286" s="652"/>
      <c r="R286" s="652"/>
      <c r="S286" s="652"/>
      <c r="T286" s="657"/>
      <c r="U286" s="657"/>
      <c r="V286" s="657"/>
      <c r="W286" s="652"/>
      <c r="X286" s="652"/>
      <c r="Y286" s="652"/>
      <c r="Z286" s="652"/>
      <c r="AA286" s="652"/>
      <c r="AB286" s="652"/>
      <c r="AC286" s="652"/>
      <c r="AD286" s="652"/>
      <c r="AE286" s="652"/>
      <c r="AF286" s="652"/>
      <c r="AG286" s="652"/>
      <c r="AH286" s="652"/>
      <c r="AI286" s="652"/>
      <c r="AJ286" s="652"/>
      <c r="AK286" s="652"/>
      <c r="AL286" s="652"/>
      <c r="AM286" s="652"/>
    </row>
    <row r="287" spans="1:39" hidden="1" x14ac:dyDescent="0.2">
      <c r="A287" s="652"/>
      <c r="B287" s="652"/>
      <c r="C287" s="652"/>
      <c r="D287" s="652"/>
      <c r="E287" s="652"/>
      <c r="F287" s="652"/>
      <c r="G287" s="652"/>
      <c r="H287" s="652"/>
      <c r="I287" s="652"/>
      <c r="J287" s="652"/>
      <c r="K287" s="652"/>
      <c r="L287" s="657"/>
      <c r="M287" s="657"/>
      <c r="N287" s="657"/>
      <c r="O287" s="652"/>
      <c r="P287" s="652"/>
      <c r="Q287" s="652"/>
      <c r="R287" s="652"/>
      <c r="S287" s="652"/>
      <c r="T287" s="657"/>
      <c r="U287" s="657"/>
      <c r="V287" s="657"/>
      <c r="W287" s="652"/>
      <c r="X287" s="652"/>
      <c r="Y287" s="652"/>
      <c r="Z287" s="652"/>
      <c r="AA287" s="652"/>
      <c r="AB287" s="652"/>
      <c r="AC287" s="652"/>
      <c r="AD287" s="652"/>
      <c r="AE287" s="652"/>
      <c r="AF287" s="652"/>
      <c r="AG287" s="652"/>
      <c r="AH287" s="652"/>
      <c r="AI287" s="652"/>
      <c r="AJ287" s="652"/>
      <c r="AK287" s="652"/>
      <c r="AL287" s="652"/>
      <c r="AM287" s="652"/>
    </row>
    <row r="288" spans="1:39" hidden="1" x14ac:dyDescent="0.2">
      <c r="A288" s="652"/>
      <c r="B288" s="652"/>
      <c r="C288" s="652"/>
      <c r="D288" s="652"/>
      <c r="E288" s="652"/>
      <c r="F288" s="652"/>
      <c r="G288" s="652"/>
      <c r="H288" s="652"/>
      <c r="I288" s="652"/>
      <c r="J288" s="652"/>
      <c r="K288" s="652"/>
      <c r="L288" s="657"/>
      <c r="M288" s="657"/>
      <c r="N288" s="657"/>
      <c r="O288" s="652"/>
      <c r="P288" s="652"/>
      <c r="Q288" s="652"/>
      <c r="R288" s="652"/>
      <c r="S288" s="652"/>
      <c r="T288" s="657"/>
      <c r="U288" s="657"/>
      <c r="V288" s="657"/>
      <c r="W288" s="652"/>
      <c r="X288" s="652"/>
      <c r="Y288" s="652"/>
      <c r="Z288" s="652"/>
      <c r="AA288" s="652"/>
      <c r="AB288" s="652"/>
      <c r="AC288" s="652"/>
      <c r="AD288" s="652"/>
      <c r="AE288" s="652"/>
      <c r="AF288" s="652"/>
      <c r="AG288" s="652"/>
      <c r="AH288" s="652"/>
      <c r="AI288" s="652"/>
      <c r="AJ288" s="652"/>
      <c r="AK288" s="652"/>
      <c r="AL288" s="652"/>
      <c r="AM288" s="652"/>
    </row>
    <row r="289" spans="1:39" hidden="1" x14ac:dyDescent="0.2">
      <c r="A289" s="652"/>
      <c r="B289" s="652"/>
      <c r="C289" s="652"/>
      <c r="D289" s="652"/>
      <c r="E289" s="652"/>
      <c r="F289" s="652"/>
      <c r="G289" s="652"/>
      <c r="H289" s="652"/>
      <c r="I289" s="652"/>
      <c r="J289" s="652"/>
      <c r="K289" s="652"/>
      <c r="L289" s="657"/>
      <c r="M289" s="657"/>
      <c r="N289" s="657"/>
      <c r="O289" s="652"/>
      <c r="P289" s="652"/>
      <c r="Q289" s="652"/>
      <c r="R289" s="652"/>
      <c r="S289" s="652"/>
      <c r="T289" s="657"/>
      <c r="U289" s="657"/>
      <c r="V289" s="657"/>
      <c r="W289" s="652"/>
      <c r="X289" s="652"/>
      <c r="Y289" s="652"/>
      <c r="Z289" s="652"/>
      <c r="AA289" s="652"/>
      <c r="AB289" s="652"/>
      <c r="AC289" s="652"/>
      <c r="AD289" s="652"/>
      <c r="AE289" s="652"/>
      <c r="AF289" s="652"/>
      <c r="AG289" s="652"/>
      <c r="AH289" s="652"/>
      <c r="AI289" s="652"/>
      <c r="AJ289" s="652"/>
      <c r="AK289" s="652"/>
      <c r="AL289" s="652"/>
      <c r="AM289" s="652"/>
    </row>
    <row r="290" spans="1:39" hidden="1" x14ac:dyDescent="0.2">
      <c r="A290" s="652"/>
      <c r="B290" s="652"/>
      <c r="C290" s="652"/>
      <c r="D290" s="652"/>
      <c r="E290" s="652"/>
      <c r="F290" s="652"/>
      <c r="G290" s="652"/>
      <c r="H290" s="652"/>
      <c r="I290" s="652"/>
      <c r="J290" s="652"/>
      <c r="K290" s="652"/>
      <c r="L290" s="657"/>
      <c r="M290" s="657"/>
      <c r="N290" s="657"/>
      <c r="O290" s="652"/>
      <c r="P290" s="652"/>
      <c r="Q290" s="652"/>
      <c r="R290" s="652"/>
      <c r="S290" s="652"/>
      <c r="T290" s="657"/>
      <c r="U290" s="657"/>
      <c r="V290" s="657"/>
      <c r="W290" s="652"/>
      <c r="X290" s="652"/>
      <c r="Y290" s="652"/>
      <c r="Z290" s="652"/>
      <c r="AA290" s="652"/>
      <c r="AB290" s="652"/>
      <c r="AC290" s="652"/>
      <c r="AD290" s="652"/>
      <c r="AE290" s="652"/>
      <c r="AF290" s="652"/>
      <c r="AG290" s="652"/>
      <c r="AH290" s="652"/>
      <c r="AI290" s="652"/>
      <c r="AJ290" s="652"/>
      <c r="AK290" s="652"/>
      <c r="AL290" s="652"/>
      <c r="AM290" s="652"/>
    </row>
    <row r="291" spans="1:39" hidden="1" x14ac:dyDescent="0.2">
      <c r="A291" s="652"/>
      <c r="B291" s="652"/>
      <c r="C291" s="652"/>
      <c r="D291" s="652"/>
      <c r="E291" s="652"/>
      <c r="F291" s="652"/>
      <c r="G291" s="652"/>
      <c r="H291" s="652"/>
      <c r="I291" s="652"/>
      <c r="J291" s="652"/>
      <c r="K291" s="652"/>
      <c r="L291" s="657"/>
      <c r="M291" s="657"/>
      <c r="N291" s="657"/>
      <c r="O291" s="652"/>
      <c r="P291" s="652"/>
      <c r="Q291" s="652"/>
      <c r="R291" s="652"/>
      <c r="S291" s="652"/>
      <c r="T291" s="657"/>
      <c r="U291" s="657"/>
      <c r="V291" s="657"/>
      <c r="W291" s="652"/>
      <c r="X291" s="652"/>
      <c r="Y291" s="652"/>
      <c r="Z291" s="652"/>
      <c r="AA291" s="652"/>
      <c r="AB291" s="652"/>
      <c r="AC291" s="652"/>
      <c r="AD291" s="652"/>
      <c r="AE291" s="652"/>
      <c r="AF291" s="652"/>
      <c r="AG291" s="652"/>
      <c r="AH291" s="652"/>
      <c r="AI291" s="652"/>
      <c r="AJ291" s="652"/>
      <c r="AK291" s="652"/>
      <c r="AL291" s="652"/>
      <c r="AM291" s="652"/>
    </row>
    <row r="292" spans="1:39" hidden="1" x14ac:dyDescent="0.2">
      <c r="A292" s="652"/>
      <c r="B292" s="652"/>
      <c r="C292" s="652"/>
      <c r="D292" s="652"/>
      <c r="E292" s="652"/>
      <c r="F292" s="652"/>
      <c r="G292" s="652"/>
      <c r="H292" s="652"/>
      <c r="I292" s="652"/>
      <c r="J292" s="652"/>
      <c r="K292" s="652"/>
      <c r="L292" s="657"/>
      <c r="M292" s="657"/>
      <c r="N292" s="657"/>
      <c r="O292" s="652"/>
      <c r="P292" s="652"/>
      <c r="Q292" s="652"/>
      <c r="R292" s="652"/>
      <c r="S292" s="652"/>
      <c r="T292" s="657"/>
      <c r="U292" s="657"/>
      <c r="V292" s="657"/>
      <c r="W292" s="652"/>
      <c r="X292" s="652"/>
      <c r="Y292" s="652"/>
      <c r="Z292" s="652"/>
      <c r="AA292" s="652"/>
      <c r="AB292" s="652"/>
      <c r="AC292" s="652"/>
      <c r="AD292" s="652"/>
      <c r="AE292" s="652"/>
      <c r="AF292" s="652"/>
      <c r="AG292" s="652"/>
      <c r="AH292" s="652"/>
      <c r="AI292" s="652"/>
      <c r="AJ292" s="652"/>
      <c r="AK292" s="652"/>
      <c r="AL292" s="652"/>
      <c r="AM292" s="652"/>
    </row>
    <row r="293" spans="1:39" hidden="1" x14ac:dyDescent="0.2">
      <c r="D293" s="698"/>
      <c r="E293" s="698"/>
      <c r="F293" s="65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652"/>
      <c r="AI293" s="652"/>
      <c r="AJ293" s="652"/>
      <c r="AK293" s="652"/>
      <c r="AL293" s="652"/>
      <c r="AM293" s="652"/>
    </row>
    <row r="294" spans="1:39" hidden="1" x14ac:dyDescent="0.2">
      <c r="D294" s="702"/>
      <c r="E294" s="702"/>
      <c r="F294" s="652"/>
      <c r="G294" s="652"/>
      <c r="H294" s="652"/>
      <c r="I294" s="652"/>
      <c r="J294" s="652"/>
      <c r="K294" s="652"/>
      <c r="L294" s="652"/>
      <c r="M294" s="652"/>
      <c r="N294" s="652"/>
      <c r="O294" s="652"/>
      <c r="P294" s="652"/>
      <c r="Q294" s="652"/>
      <c r="R294" s="652"/>
      <c r="S294" s="652"/>
      <c r="T294" s="652"/>
      <c r="U294" s="652"/>
      <c r="V294" s="652"/>
      <c r="W294" s="652"/>
      <c r="X294" s="652"/>
      <c r="Y294" s="652"/>
      <c r="Z294" s="652"/>
      <c r="AA294" s="652"/>
      <c r="AB294" s="652"/>
      <c r="AC294" s="652"/>
      <c r="AD294" s="652"/>
      <c r="AE294" s="652"/>
      <c r="AF294" s="652"/>
      <c r="AG294" s="652"/>
      <c r="AH294" s="652"/>
      <c r="AI294" s="652"/>
      <c r="AJ294" s="652"/>
      <c r="AK294" s="652"/>
      <c r="AL294" s="652"/>
      <c r="AM294" s="652"/>
    </row>
    <row r="295" spans="1:39" hidden="1" x14ac:dyDescent="0.2">
      <c r="D295" s="653"/>
      <c r="E295" s="653"/>
      <c r="F295" s="652"/>
      <c r="G295" s="652"/>
      <c r="H295" s="652"/>
      <c r="I295" s="652"/>
      <c r="J295" s="652"/>
      <c r="K295" s="652"/>
      <c r="L295" s="652"/>
      <c r="M295" s="652"/>
      <c r="N295" s="652"/>
      <c r="O295" s="652"/>
      <c r="P295" s="652"/>
      <c r="Q295" s="652"/>
      <c r="R295" s="652"/>
      <c r="S295" s="652"/>
      <c r="T295" s="652"/>
      <c r="U295" s="652"/>
      <c r="V295" s="652"/>
      <c r="W295" s="703"/>
      <c r="X295" s="652"/>
      <c r="Y295" s="652"/>
      <c r="Z295" s="652"/>
      <c r="AA295" s="652"/>
      <c r="AB295" s="652"/>
      <c r="AC295" s="652"/>
      <c r="AD295" s="652"/>
      <c r="AE295" s="652"/>
      <c r="AF295" s="652"/>
      <c r="AG295" s="652"/>
      <c r="AH295" s="652"/>
      <c r="AI295" s="652"/>
      <c r="AJ295" s="652"/>
      <c r="AK295" s="652"/>
      <c r="AL295" s="652"/>
      <c r="AM295" s="652"/>
    </row>
    <row r="296" spans="1:39" hidden="1" x14ac:dyDescent="0.2">
      <c r="D296" s="653"/>
      <c r="E296" s="653"/>
      <c r="F296" s="652"/>
      <c r="G296" s="652"/>
      <c r="H296" s="652"/>
      <c r="I296" s="652"/>
      <c r="J296" s="652"/>
      <c r="K296" s="652"/>
      <c r="L296" s="652"/>
      <c r="M296" s="652"/>
      <c r="N296" s="652"/>
      <c r="O296" s="652"/>
      <c r="P296" s="652"/>
      <c r="Q296" s="652"/>
      <c r="R296" s="652"/>
      <c r="S296" s="652"/>
      <c r="T296" s="652"/>
      <c r="U296" s="652"/>
      <c r="V296" s="652"/>
      <c r="W296" s="652"/>
      <c r="X296" s="652"/>
      <c r="Y296" s="652"/>
      <c r="Z296" s="652"/>
      <c r="AA296" s="652"/>
      <c r="AB296" s="652"/>
      <c r="AC296" s="652"/>
      <c r="AD296" s="652"/>
      <c r="AE296" s="652"/>
      <c r="AF296" s="652"/>
      <c r="AG296" s="652"/>
      <c r="AH296" s="652"/>
      <c r="AI296" s="652"/>
      <c r="AJ296" s="652"/>
      <c r="AK296" s="652"/>
      <c r="AL296" s="652"/>
      <c r="AM296" s="652"/>
    </row>
    <row r="297" spans="1:39" hidden="1" x14ac:dyDescent="0.2">
      <c r="D297" s="653"/>
      <c r="E297" s="653"/>
      <c r="F297" s="65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652"/>
      <c r="AF297" s="652"/>
      <c r="AG297" s="652"/>
      <c r="AH297" s="652"/>
      <c r="AI297" s="652"/>
      <c r="AJ297" s="652"/>
      <c r="AK297" s="652"/>
      <c r="AL297" s="652"/>
      <c r="AM297" s="652"/>
    </row>
    <row r="298" spans="1:39" x14ac:dyDescent="0.2">
      <c r="D298" s="653"/>
      <c r="E298" s="653"/>
      <c r="F298" s="652"/>
      <c r="G298" s="652"/>
      <c r="H298" s="652"/>
      <c r="I298" s="652"/>
      <c r="J298" s="652"/>
      <c r="K298" s="652"/>
      <c r="L298" s="652"/>
      <c r="M298" s="652"/>
      <c r="N298" s="652"/>
      <c r="O298" s="652"/>
      <c r="P298" s="652"/>
      <c r="Q298" s="652"/>
      <c r="R298" s="652"/>
      <c r="S298" s="652"/>
      <c r="T298" s="652"/>
      <c r="U298" s="652"/>
      <c r="V298" s="652"/>
      <c r="W298" s="652"/>
      <c r="X298" s="652"/>
      <c r="Y298" s="652"/>
      <c r="Z298" s="652"/>
      <c r="AA298" s="652"/>
      <c r="AB298" s="652"/>
      <c r="AC298" s="652"/>
      <c r="AD298" s="652"/>
      <c r="AE298" s="652"/>
      <c r="AF298" s="652"/>
      <c r="AG298" s="652"/>
      <c r="AH298" s="652"/>
      <c r="AI298" s="652"/>
      <c r="AJ298" s="652"/>
      <c r="AK298" s="652"/>
      <c r="AL298" s="652"/>
      <c r="AM298" s="652"/>
    </row>
    <row r="299" spans="1:39" x14ac:dyDescent="0.2">
      <c r="A299" s="652"/>
      <c r="B299" s="652"/>
      <c r="C299" s="697" t="s">
        <v>182</v>
      </c>
      <c r="D299" s="653"/>
      <c r="E299" s="653"/>
      <c r="F299" s="652"/>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c r="AH299" s="652"/>
      <c r="AI299" s="652"/>
      <c r="AJ299" s="652"/>
      <c r="AK299" s="652"/>
      <c r="AL299" s="652"/>
      <c r="AM299" s="652"/>
    </row>
    <row r="300" spans="1:39" x14ac:dyDescent="0.2">
      <c r="A300" s="699">
        <v>1</v>
      </c>
      <c r="B300" s="700" t="str">
        <f t="shared" ref="B300:B317" si="10">IFERROR(INDEX(B$1:B$94,MATCH(A300,A$1:A$94,0)),"")</f>
        <v>Ivar Viljaste, Matti Vinni</v>
      </c>
      <c r="C300" s="711">
        <v>40</v>
      </c>
      <c r="D300" s="959"/>
      <c r="E300" s="653"/>
      <c r="F300" s="652"/>
      <c r="G300" s="652"/>
      <c r="H300" s="652"/>
      <c r="I300" s="652"/>
      <c r="J300" s="652"/>
      <c r="K300" s="652"/>
      <c r="L300" s="652"/>
      <c r="M300" s="652"/>
      <c r="N300" s="652"/>
      <c r="O300" s="652"/>
      <c r="P300" s="652"/>
      <c r="Q300" s="652"/>
      <c r="R300" s="652"/>
      <c r="S300" s="652"/>
      <c r="T300" s="652"/>
      <c r="U300" s="652"/>
      <c r="V300" s="652"/>
      <c r="W300" s="703"/>
      <c r="X300" s="652"/>
      <c r="Y300" s="652"/>
      <c r="Z300" s="652"/>
      <c r="AA300" s="652"/>
      <c r="AB300" s="652"/>
      <c r="AC300" s="652"/>
      <c r="AD300" s="652"/>
      <c r="AE300" s="652"/>
      <c r="AF300" s="652"/>
      <c r="AG300" s="652"/>
      <c r="AH300" s="652"/>
      <c r="AI300" s="652"/>
      <c r="AJ300" s="652"/>
      <c r="AK300" s="652"/>
      <c r="AL300" s="652"/>
      <c r="AM300" s="652"/>
    </row>
    <row r="301" spans="1:39" x14ac:dyDescent="0.2">
      <c r="A301" s="699">
        <v>2</v>
      </c>
      <c r="B301" s="700" t="str">
        <f t="shared" si="10"/>
        <v>Elmo Lageda, Tõnu Piik</v>
      </c>
      <c r="C301" s="711">
        <v>34</v>
      </c>
      <c r="D301" s="959"/>
      <c r="E301" s="653"/>
      <c r="F301" s="652"/>
      <c r="G301" s="652"/>
      <c r="H301" s="652"/>
      <c r="I301" s="652"/>
      <c r="J301" s="652"/>
      <c r="K301" s="652"/>
      <c r="L301" s="652"/>
      <c r="M301" s="652"/>
      <c r="N301" s="652"/>
      <c r="O301" s="652"/>
      <c r="P301" s="652"/>
      <c r="Q301" s="652"/>
      <c r="R301" s="652"/>
      <c r="S301" s="652"/>
      <c r="T301" s="652"/>
      <c r="U301" s="652"/>
      <c r="V301" s="652"/>
      <c r="W301" s="652"/>
      <c r="X301" s="652"/>
      <c r="Y301" s="652"/>
      <c r="Z301" s="652"/>
      <c r="AA301" s="652"/>
      <c r="AB301" s="652"/>
      <c r="AC301" s="652"/>
      <c r="AD301" s="652"/>
      <c r="AE301" s="652"/>
      <c r="AF301" s="652"/>
      <c r="AG301" s="652"/>
      <c r="AH301" s="652"/>
      <c r="AI301" s="652"/>
      <c r="AJ301" s="652"/>
      <c r="AK301" s="652"/>
      <c r="AL301" s="652"/>
      <c r="AM301" s="652"/>
    </row>
    <row r="302" spans="1:39" x14ac:dyDescent="0.2">
      <c r="A302" s="699">
        <v>3</v>
      </c>
      <c r="B302" s="700" t="str">
        <f t="shared" si="10"/>
        <v>Jaan Sepp, Oskar Sepp</v>
      </c>
      <c r="C302" s="711">
        <v>30</v>
      </c>
      <c r="D302" s="959"/>
      <c r="E302" s="653"/>
      <c r="F302" s="652"/>
      <c r="G302" s="652"/>
      <c r="H302" s="652"/>
      <c r="I302" s="652"/>
      <c r="J302" s="652"/>
      <c r="K302" s="652"/>
      <c r="L302" s="652"/>
      <c r="M302" s="652"/>
      <c r="N302" s="652"/>
      <c r="O302" s="652"/>
      <c r="P302" s="652"/>
      <c r="Q302" s="652"/>
      <c r="R302" s="652"/>
      <c r="S302" s="652"/>
      <c r="T302" s="652"/>
      <c r="U302" s="652"/>
      <c r="V302" s="652"/>
      <c r="W302" s="652"/>
      <c r="X302" s="652"/>
      <c r="Y302" s="652"/>
      <c r="Z302" s="652"/>
      <c r="AA302" s="652"/>
      <c r="AB302" s="652"/>
      <c r="AC302" s="652"/>
      <c r="AD302" s="652"/>
      <c r="AE302" s="652"/>
      <c r="AF302" s="652"/>
      <c r="AG302" s="652"/>
      <c r="AH302" s="652"/>
      <c r="AI302" s="652"/>
      <c r="AJ302" s="652"/>
      <c r="AK302" s="652"/>
      <c r="AL302" s="652"/>
      <c r="AM302" s="652"/>
    </row>
    <row r="303" spans="1:39" x14ac:dyDescent="0.2">
      <c r="A303" s="699">
        <v>4</v>
      </c>
      <c r="B303" s="700" t="str">
        <f t="shared" si="10"/>
        <v>Argo Sepp, Toomas Tedrekull</v>
      </c>
      <c r="C303" s="711">
        <v>26</v>
      </c>
      <c r="D303" s="959"/>
      <c r="E303" s="653"/>
      <c r="F303" s="652"/>
      <c r="G303" s="652"/>
      <c r="H303" s="652"/>
      <c r="I303" s="652"/>
      <c r="J303" s="652"/>
      <c r="K303" s="652"/>
      <c r="L303" s="652"/>
      <c r="M303" s="652"/>
      <c r="N303" s="652"/>
      <c r="O303" s="652"/>
      <c r="P303" s="652"/>
      <c r="Q303" s="652"/>
      <c r="R303" s="652"/>
      <c r="S303" s="652"/>
      <c r="T303" s="652"/>
      <c r="U303" s="652"/>
      <c r="V303" s="652"/>
      <c r="W303" s="652"/>
      <c r="X303" s="652"/>
      <c r="Y303" s="652"/>
      <c r="Z303" s="652"/>
      <c r="AA303" s="652"/>
      <c r="AB303" s="652"/>
      <c r="AC303" s="652"/>
      <c r="AD303" s="652"/>
      <c r="AE303" s="652"/>
      <c r="AF303" s="652"/>
      <c r="AG303" s="652"/>
      <c r="AH303" s="652"/>
      <c r="AI303" s="652"/>
      <c r="AJ303" s="652"/>
      <c r="AK303" s="652"/>
      <c r="AL303" s="652"/>
      <c r="AM303" s="652"/>
    </row>
    <row r="304" spans="1:39" x14ac:dyDescent="0.2">
      <c r="A304" s="699">
        <v>5</v>
      </c>
      <c r="B304" s="700" t="str">
        <f t="shared" si="10"/>
        <v>Oksana Rõndenkova, Oleg Rõndenkov</v>
      </c>
      <c r="C304" s="711">
        <v>24</v>
      </c>
      <c r="D304" s="701"/>
      <c r="E304" s="652"/>
      <c r="F304" s="652"/>
      <c r="G304" s="652"/>
      <c r="H304" s="652"/>
      <c r="I304" s="652"/>
      <c r="J304" s="652"/>
      <c r="K304" s="652"/>
      <c r="L304" s="652"/>
      <c r="M304" s="652"/>
      <c r="N304" s="652"/>
      <c r="O304" s="652"/>
      <c r="P304" s="652"/>
      <c r="Q304" s="652"/>
      <c r="R304" s="652"/>
      <c r="S304" s="652"/>
      <c r="T304" s="652"/>
      <c r="U304" s="652"/>
      <c r="V304" s="652"/>
      <c r="W304" s="652"/>
      <c r="X304" s="652"/>
      <c r="Y304" s="652"/>
      <c r="Z304" s="652"/>
      <c r="AA304" s="652"/>
      <c r="AB304" s="652"/>
      <c r="AC304" s="652"/>
      <c r="AD304" s="652"/>
      <c r="AE304" s="652"/>
      <c r="AF304" s="652"/>
      <c r="AG304" s="652"/>
      <c r="AH304" s="652"/>
      <c r="AI304" s="652"/>
      <c r="AJ304" s="652"/>
      <c r="AK304" s="652"/>
      <c r="AL304" s="652"/>
      <c r="AM304" s="652"/>
    </row>
    <row r="305" spans="1:39" x14ac:dyDescent="0.2">
      <c r="A305" s="699">
        <v>6</v>
      </c>
      <c r="B305" s="700" t="str">
        <f t="shared" si="10"/>
        <v>Andrei Grintšak, Boriss Klubov</v>
      </c>
      <c r="C305" s="711">
        <v>22</v>
      </c>
      <c r="D305" s="701"/>
      <c r="E305" s="652"/>
      <c r="F305" s="652"/>
      <c r="G305" s="652"/>
      <c r="H305" s="652"/>
      <c r="I305" s="652"/>
      <c r="J305" s="652"/>
      <c r="K305" s="652"/>
      <c r="L305" s="652"/>
      <c r="M305" s="652"/>
      <c r="N305" s="652"/>
      <c r="O305" s="652"/>
      <c r="P305" s="652"/>
      <c r="Q305" s="652"/>
      <c r="R305" s="652"/>
      <c r="S305" s="652"/>
      <c r="T305" s="652"/>
      <c r="U305" s="652"/>
      <c r="V305" s="652"/>
      <c r="W305" s="652"/>
      <c r="X305" s="652"/>
      <c r="Y305" s="652"/>
      <c r="Z305" s="652"/>
      <c r="AA305" s="652"/>
      <c r="AB305" s="652"/>
      <c r="AC305" s="652"/>
      <c r="AD305" s="652"/>
      <c r="AE305" s="652"/>
      <c r="AF305" s="652"/>
      <c r="AG305" s="652"/>
      <c r="AH305" s="652"/>
      <c r="AI305" s="652"/>
      <c r="AJ305" s="652"/>
      <c r="AK305" s="652"/>
      <c r="AL305" s="652"/>
      <c r="AM305" s="652"/>
    </row>
    <row r="306" spans="1:39" ht="25.5" x14ac:dyDescent="0.2">
      <c r="A306" s="699">
        <v>7</v>
      </c>
      <c r="B306" s="700" t="str">
        <f t="shared" si="10"/>
        <v>Kenneth Muusikus, Sandra Laura Nõmmeloo</v>
      </c>
      <c r="C306" s="711">
        <v>20</v>
      </c>
      <c r="D306" s="701"/>
      <c r="E306" s="652"/>
      <c r="F306" s="652"/>
      <c r="G306" s="652"/>
      <c r="H306" s="652"/>
      <c r="I306" s="652"/>
      <c r="J306" s="652"/>
      <c r="K306" s="652"/>
      <c r="L306" s="652"/>
      <c r="M306" s="652"/>
      <c r="N306" s="652"/>
      <c r="O306" s="652"/>
      <c r="P306" s="652"/>
      <c r="Q306" s="652"/>
      <c r="R306" s="652"/>
      <c r="S306" s="652"/>
      <c r="T306" s="652"/>
      <c r="U306" s="652"/>
      <c r="V306" s="652"/>
      <c r="W306" s="652"/>
      <c r="X306" s="652"/>
      <c r="Y306" s="652"/>
      <c r="Z306" s="652"/>
      <c r="AA306" s="652"/>
      <c r="AB306" s="652"/>
      <c r="AC306" s="652"/>
      <c r="AD306" s="652"/>
      <c r="AE306" s="652"/>
      <c r="AF306" s="652"/>
      <c r="AG306" s="652"/>
      <c r="AH306" s="652"/>
      <c r="AI306" s="652"/>
      <c r="AJ306" s="652"/>
      <c r="AK306" s="652"/>
      <c r="AL306" s="652"/>
      <c r="AM306" s="652"/>
    </row>
    <row r="307" spans="1:39" ht="25.5" x14ac:dyDescent="0.2">
      <c r="A307" s="699">
        <v>8</v>
      </c>
      <c r="B307" s="700" t="str">
        <f t="shared" si="10"/>
        <v>Johannes Neiland, Kaspar Mänd, Mait Metsla</v>
      </c>
      <c r="C307" s="711">
        <v>18</v>
      </c>
      <c r="D307" s="711"/>
    </row>
    <row r="308" spans="1:39" x14ac:dyDescent="0.2">
      <c r="A308" s="699">
        <v>9</v>
      </c>
      <c r="B308" s="700" t="str">
        <f t="shared" si="10"/>
        <v>Aigi Orro, Kalle Orro</v>
      </c>
      <c r="C308" s="711">
        <v>16</v>
      </c>
      <c r="D308" s="711"/>
    </row>
    <row r="309" spans="1:39" x14ac:dyDescent="0.2">
      <c r="A309" s="699">
        <v>10</v>
      </c>
      <c r="B309" s="700" t="str">
        <f t="shared" si="10"/>
        <v>Aarne Välja, Janek Tarto</v>
      </c>
      <c r="C309" s="701">
        <v>14</v>
      </c>
      <c r="D309" s="711"/>
    </row>
    <row r="310" spans="1:39" x14ac:dyDescent="0.2">
      <c r="A310" s="699">
        <v>11</v>
      </c>
      <c r="B310" s="700" t="str">
        <f t="shared" si="10"/>
        <v>Andres Veski, Svetlana Veski</v>
      </c>
      <c r="C310" s="701">
        <v>12</v>
      </c>
      <c r="D310" s="711"/>
    </row>
    <row r="311" spans="1:39" x14ac:dyDescent="0.2">
      <c r="A311" s="699">
        <v>12</v>
      </c>
      <c r="B311" s="700" t="str">
        <f t="shared" si="10"/>
        <v>Henri Mitt, Urmas Randlaine</v>
      </c>
      <c r="C311" s="701">
        <v>10</v>
      </c>
      <c r="D311" s="711"/>
    </row>
    <row r="312" spans="1:39" x14ac:dyDescent="0.2">
      <c r="A312" s="699">
        <v>13</v>
      </c>
      <c r="B312" s="700" t="str">
        <f t="shared" si="10"/>
        <v>Ljudmila Varendi, Viktor Švarõgin</v>
      </c>
      <c r="C312" s="701">
        <v>8</v>
      </c>
      <c r="D312" s="711"/>
    </row>
    <row r="313" spans="1:39" x14ac:dyDescent="0.2">
      <c r="A313" s="699">
        <v>14</v>
      </c>
      <c r="B313" s="700" t="str">
        <f t="shared" si="10"/>
        <v>Karla Purgats, Lemmit Toomra</v>
      </c>
      <c r="C313" s="701">
        <v>6</v>
      </c>
      <c r="D313" s="711"/>
    </row>
    <row r="314" spans="1:39" x14ac:dyDescent="0.2">
      <c r="A314" s="699">
        <v>15</v>
      </c>
      <c r="B314" s="700" t="str">
        <f t="shared" si="10"/>
        <v>Tõnu Kapper, Vladimir Ogneštšikov</v>
      </c>
      <c r="C314" s="701">
        <v>4</v>
      </c>
      <c r="D314" s="711"/>
    </row>
    <row r="315" spans="1:39" x14ac:dyDescent="0.2">
      <c r="A315" s="699">
        <v>16</v>
      </c>
      <c r="B315" s="700" t="str">
        <f t="shared" si="10"/>
        <v>Dmitri Salkasev, Tõnis Anton</v>
      </c>
      <c r="C315" s="701">
        <v>2</v>
      </c>
      <c r="D315" s="711"/>
    </row>
    <row r="316" spans="1:39" x14ac:dyDescent="0.2">
      <c r="A316" s="699">
        <v>17</v>
      </c>
      <c r="B316" s="700" t="str">
        <f t="shared" si="10"/>
        <v>Meelis Luud, Sander Rose</v>
      </c>
      <c r="C316" s="701">
        <v>1</v>
      </c>
      <c r="D316" s="711"/>
    </row>
    <row r="317" spans="1:39" x14ac:dyDescent="0.2">
      <c r="A317" s="699">
        <v>18</v>
      </c>
      <c r="B317" s="700" t="str">
        <f t="shared" si="10"/>
        <v>Enn Tokman</v>
      </c>
      <c r="C317" s="701">
        <v>1</v>
      </c>
      <c r="D317" s="711"/>
    </row>
  </sheetData>
  <conditionalFormatting sqref="C8:C25">
    <cfRule type="expression" dxfId="935" priority="17">
      <formula>IF($C8&gt;$E8,TRUE)</formula>
    </cfRule>
  </conditionalFormatting>
  <conditionalFormatting sqref="E8:E25">
    <cfRule type="expression" dxfId="934" priority="18">
      <formula>IF($C8&lt;$E8,TRUE)</formula>
    </cfRule>
  </conditionalFormatting>
  <conditionalFormatting sqref="K8:K25">
    <cfRule type="expression" dxfId="933" priority="25">
      <formula>IF($K8&gt;$M8,TRUE)</formula>
    </cfRule>
  </conditionalFormatting>
  <conditionalFormatting sqref="M8:M25">
    <cfRule type="expression" dxfId="932" priority="26">
      <formula>IF($K8&lt;$M8,TRUE)</formula>
    </cfRule>
  </conditionalFormatting>
  <conditionalFormatting sqref="O8:O25">
    <cfRule type="expression" dxfId="931" priority="29">
      <formula>IF($O8&gt;$Q8,TRUE)</formula>
    </cfRule>
  </conditionalFormatting>
  <conditionalFormatting sqref="Q8:Q25">
    <cfRule type="expression" dxfId="930" priority="30">
      <formula>IF($O8&lt;$Q8,TRUE)</formula>
    </cfRule>
  </conditionalFormatting>
  <conditionalFormatting sqref="S8:S25">
    <cfRule type="expression" dxfId="929" priority="33">
      <formula>IF($S8&gt;$U8,TRUE)</formula>
    </cfRule>
  </conditionalFormatting>
  <conditionalFormatting sqref="U8:U25">
    <cfRule type="expression" dxfId="928" priority="34">
      <formula>IF($S8&lt;$U8,TRUE)</formula>
    </cfRule>
  </conditionalFormatting>
  <conditionalFormatting sqref="G8:G25">
    <cfRule type="expression" dxfId="927" priority="21">
      <formula>IF($G8&gt;$I8,TRUE)</formula>
    </cfRule>
  </conditionalFormatting>
  <conditionalFormatting sqref="I8:I25">
    <cfRule type="expression" dxfId="926" priority="22">
      <formula>IF($G8&lt;$I8,TRUE)</formula>
    </cfRule>
  </conditionalFormatting>
  <conditionalFormatting sqref="F8:F25">
    <cfRule type="containsText" dxfId="925" priority="8" operator="containsText" text="vaba voor">
      <formula>NOT(ISERROR(SEARCH("vaba voor",F8)))</formula>
    </cfRule>
  </conditionalFormatting>
  <conditionalFormatting sqref="N8:N25">
    <cfRule type="containsText" dxfId="924" priority="6" operator="containsText" text="vaba voor">
      <formula>NOT(ISERROR(SEARCH("vaba voor",N8)))</formula>
    </cfRule>
  </conditionalFormatting>
  <conditionalFormatting sqref="R8:R25">
    <cfRule type="containsText" dxfId="923" priority="9" operator="containsText" text="vaba voor">
      <formula>NOT(ISERROR(SEARCH("vaba voor",R8)))</formula>
    </cfRule>
  </conditionalFormatting>
  <conditionalFormatting sqref="V8:V25">
    <cfRule type="containsText" dxfId="922" priority="5" operator="containsText" text="vaba voor">
      <formula>NOT(ISERROR(SEARCH("vaba voor",V8)))</formula>
    </cfRule>
  </conditionalFormatting>
  <conditionalFormatting sqref="J8:J25">
    <cfRule type="containsText" dxfId="921" priority="7" operator="containsText" text="vaba voor">
      <formula>NOT(ISERROR(SEARCH("vaba voor",J8)))</formula>
    </cfRule>
  </conditionalFormatting>
  <conditionalFormatting sqref="C8:F25">
    <cfRule type="expression" dxfId="920" priority="13">
      <formula>IF(AND(ISNUMBER($C8),$C8=$E8),TRUE)</formula>
    </cfRule>
    <cfRule type="expression" dxfId="919" priority="15">
      <formula>IF($C8&gt;$E8,TRUE)</formula>
    </cfRule>
    <cfRule type="expression" dxfId="918" priority="16">
      <formula>IF($C8&lt;$E8,TRUE)</formula>
    </cfRule>
  </conditionalFormatting>
  <conditionalFormatting sqref="G8:J25">
    <cfRule type="expression" dxfId="917" priority="14">
      <formula>IF(AND(ISNUMBER($G8),$G8=$I8),TRUE)</formula>
    </cfRule>
    <cfRule type="expression" dxfId="916" priority="19">
      <formula>IF($G8&gt;$I8,TRUE)</formula>
    </cfRule>
    <cfRule type="expression" dxfId="915" priority="20">
      <formula>IF($G8&lt;$I8,TRUE)</formula>
    </cfRule>
  </conditionalFormatting>
  <conditionalFormatting sqref="K8:N25">
    <cfRule type="expression" dxfId="914" priority="12">
      <formula>IF(AND(ISNUMBER($K8),$K8=$M8),TRUE)</formula>
    </cfRule>
    <cfRule type="expression" dxfId="913" priority="23">
      <formula>IF($K8&gt;$M8,TRUE)</formula>
    </cfRule>
    <cfRule type="expression" dxfId="912" priority="24">
      <formula>IF($K8&lt;$M8,TRUE)</formula>
    </cfRule>
  </conditionalFormatting>
  <conditionalFormatting sqref="O8:R25">
    <cfRule type="expression" dxfId="911" priority="11">
      <formula>IF(AND(ISNUMBER($O8),$O8=$Q8),TRUE)</formula>
    </cfRule>
    <cfRule type="expression" dxfId="910" priority="27">
      <formula>IF($O8&gt;$Q8,TRUE)</formula>
    </cfRule>
    <cfRule type="expression" dxfId="909" priority="28">
      <formula>IF($O8&lt;$Q8,TRUE)</formula>
    </cfRule>
  </conditionalFormatting>
  <conditionalFormatting sqref="S8:V25">
    <cfRule type="expression" dxfId="908" priority="10">
      <formula>IF(AND(ISNUMBER($S8),$S8=$U8),TRUE)</formula>
    </cfRule>
    <cfRule type="expression" dxfId="907" priority="31">
      <formula>IF($S8&gt;$U8,TRUE)</formula>
    </cfRule>
    <cfRule type="expression" dxfId="906" priority="32">
      <formula>IF($S8&lt;$U8,TRUE)</formula>
    </cfRule>
  </conditionalFormatting>
  <conditionalFormatting sqref="C8:C25 G8:G25 K8:K25 O8:O25 S8:S25">
    <cfRule type="expression" dxfId="905" priority="4">
      <formula>AND(C8=0,E8=13)</formula>
    </cfRule>
  </conditionalFormatting>
  <conditionalFormatting sqref="AF8:AF25 AJ8:AJ25 AL8:AL25">
    <cfRule type="expression" dxfId="904" priority="1">
      <formula>AND(AE8="",COUNTIF(AF8,"*,*")=0)</formula>
    </cfRule>
  </conditionalFormatting>
  <conditionalFormatting sqref="AH8:AH25">
    <cfRule type="expression" dxfId="903" priority="2">
      <formula>AND(AG8="",FIND(",",AH8))</formula>
    </cfRule>
    <cfRule type="expression" dxfId="902" priority="3">
      <formula>AND(AG8="",COUNTIF(AH8,"*,*")=0)</formula>
    </cfRule>
  </conditionalFormatting>
  <conditionalFormatting sqref="A8:A25">
    <cfRule type="duplicateValues" dxfId="901" priority="445"/>
  </conditionalFormatting>
  <conditionalFormatting sqref="A300:A317">
    <cfRule type="duplicateValues" dxfId="900" priority="446"/>
  </conditionalFormatting>
  <conditionalFormatting sqref="B300:B317">
    <cfRule type="expression" dxfId="899" priority="452">
      <formula>A300=3</formula>
    </cfRule>
    <cfRule type="expression" dxfId="898" priority="453">
      <formula>A300=2</formula>
    </cfRule>
    <cfRule type="expression" dxfId="897" priority="454">
      <formula>A300=1</formula>
    </cfRule>
    <cfRule type="containsBlanks" dxfId="896" priority="455">
      <formula>LEN(TRIM(B300))=0</formula>
    </cfRule>
    <cfRule type="duplicateValues" dxfId="895" priority="456"/>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rowBreaks count="1" manualBreakCount="1">
    <brk id="297"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F314"/>
  <sheetViews>
    <sheetView showGridLines="0" showRowColHeaders="0" zoomScaleNormal="100" workbookViewId="0">
      <pane ySplit="2" topLeftCell="A3" activePane="bottomLeft" state="frozen"/>
      <selection pane="bottomLeft" activeCell="W1" sqref="W1"/>
    </sheetView>
  </sheetViews>
  <sheetFormatPr defaultRowHeight="12.75" x14ac:dyDescent="0.2"/>
  <cols>
    <col min="1" max="1" width="3" customWidth="1"/>
    <col min="2" max="2" width="18.7109375" customWidth="1"/>
    <col min="3" max="22" width="2.85546875" customWidth="1"/>
    <col min="23" max="23" width="3" customWidth="1"/>
    <col min="24" max="24" width="10.5703125" customWidth="1"/>
    <col min="25" max="26" width="4" hidden="1" customWidth="1"/>
    <col min="27" max="27" width="4.5703125" hidden="1" customWidth="1"/>
    <col min="29" max="29" width="9.140625" customWidth="1"/>
    <col min="30" max="30" width="9.140625" hidden="1" customWidth="1"/>
    <col min="31" max="31" width="18.7109375" hidden="1" customWidth="1"/>
    <col min="32" max="32" width="0" hidden="1" customWidth="1"/>
  </cols>
  <sheetData>
    <row r="1" spans="1:32" x14ac:dyDescent="0.2">
      <c r="A1" s="742" t="str">
        <f>UPPER((Kalend!E27)&amp;" - "&amp;(Kalend!C27)&amp;" - "&amp;(Kalend!D27))</f>
        <v>7 - IDA-VIRUMAA MV - TULISTAMINE</v>
      </c>
      <c r="B1" s="702"/>
      <c r="C1" s="702"/>
      <c r="D1" s="702"/>
      <c r="E1" s="702"/>
      <c r="F1" s="702"/>
      <c r="G1" s="702"/>
      <c r="H1" s="702"/>
      <c r="I1" s="702"/>
      <c r="J1" s="702"/>
      <c r="K1" s="702"/>
      <c r="L1" s="702"/>
      <c r="M1" s="702"/>
      <c r="N1" s="421" t="str">
        <f>HYPERLINK("#Kalend!I1","Kalender")</f>
        <v>Kalender</v>
      </c>
      <c r="O1" s="70"/>
      <c r="P1" s="702"/>
      <c r="Q1" s="70"/>
      <c r="R1" s="70"/>
      <c r="S1" s="743" t="str">
        <f>HYPERLINK("#'Reit'!T1","Reiting")</f>
        <v>Reiting</v>
      </c>
      <c r="T1" s="70"/>
      <c r="U1" s="429"/>
      <c r="V1" s="429"/>
      <c r="W1" s="702"/>
      <c r="X1" s="702"/>
      <c r="Y1" s="835"/>
      <c r="Z1" s="835"/>
      <c r="AA1" s="835"/>
      <c r="AB1" s="702"/>
      <c r="AD1" s="417" t="s">
        <v>181</v>
      </c>
      <c r="AE1" s="822"/>
      <c r="AF1" s="822"/>
    </row>
    <row r="2" spans="1:32" x14ac:dyDescent="0.2">
      <c r="A2" s="659" t="str">
        <f>"Toimumisaeg: "&amp;(Kalend!A27)&amp;" kell "&amp;(Kalend!B27)</f>
        <v>Toimumisaeg: N, 04.07.2019 kell 18:00</v>
      </c>
      <c r="B2" s="702"/>
      <c r="C2" s="702"/>
      <c r="D2" s="702"/>
      <c r="E2" s="702"/>
      <c r="F2" s="702"/>
      <c r="G2" s="702"/>
      <c r="H2" s="702"/>
      <c r="I2" s="702"/>
      <c r="J2" s="702"/>
      <c r="K2" s="702"/>
      <c r="L2" s="702"/>
      <c r="M2" s="702"/>
      <c r="N2" s="702"/>
      <c r="O2" s="702"/>
      <c r="P2" s="702"/>
      <c r="Q2" s="702"/>
      <c r="R2" s="429"/>
      <c r="S2" s="429"/>
      <c r="T2" s="429"/>
      <c r="U2" s="702"/>
      <c r="V2" s="702"/>
      <c r="W2" s="702"/>
      <c r="X2" s="702"/>
      <c r="Y2" s="702"/>
      <c r="Z2" s="702"/>
      <c r="AA2" s="702"/>
      <c r="AB2" s="702"/>
      <c r="AD2" s="659"/>
      <c r="AE2" s="659"/>
      <c r="AF2" s="659"/>
    </row>
    <row r="3" spans="1:32" x14ac:dyDescent="0.2">
      <c r="A3" s="659" t="str">
        <f>"Toimumiskoht: "&amp;(Kalend!F27)</f>
        <v>Toimumiskoht: K-Järve spordihoone</v>
      </c>
      <c r="B3" s="702"/>
      <c r="C3" s="702"/>
      <c r="D3" s="702"/>
      <c r="E3" s="702"/>
      <c r="F3" s="702"/>
      <c r="G3" s="702"/>
      <c r="H3" s="702"/>
      <c r="I3" s="702"/>
      <c r="J3" s="702"/>
      <c r="K3" s="702"/>
      <c r="L3" s="702"/>
      <c r="M3" s="702"/>
      <c r="N3" s="702"/>
      <c r="O3" s="702"/>
      <c r="P3" s="702"/>
      <c r="Q3" s="702"/>
      <c r="R3" s="429"/>
      <c r="S3" s="429"/>
      <c r="T3" s="429"/>
      <c r="U3" s="702"/>
      <c r="V3" s="702"/>
      <c r="W3" s="702"/>
      <c r="X3" s="702"/>
      <c r="Y3" s="702"/>
      <c r="Z3" s="702"/>
      <c r="AA3" s="702"/>
      <c r="AB3" s="702"/>
      <c r="AD3" s="823" t="s">
        <v>362</v>
      </c>
      <c r="AF3" s="659"/>
    </row>
    <row r="4" spans="1:32" x14ac:dyDescent="0.2">
      <c r="A4" s="659" t="str">
        <f>"Korraldaja: "&amp;(Kalend!G27)</f>
        <v>Korraldaja: Ivar Viljaste</v>
      </c>
      <c r="B4" s="702"/>
      <c r="C4" s="702"/>
      <c r="D4" s="702"/>
      <c r="E4" s="702"/>
      <c r="F4" s="702"/>
      <c r="G4" s="702"/>
      <c r="H4" s="702"/>
      <c r="I4" s="702"/>
      <c r="J4" s="702"/>
      <c r="K4" s="702"/>
      <c r="L4" s="702"/>
      <c r="M4" s="702"/>
      <c r="N4" s="702"/>
      <c r="O4" s="702"/>
      <c r="P4" s="702"/>
      <c r="Q4" s="702"/>
      <c r="R4" s="429"/>
      <c r="S4" s="429"/>
      <c r="T4" s="429"/>
      <c r="U4" s="702"/>
      <c r="V4" s="702"/>
      <c r="W4" s="702"/>
      <c r="X4" s="702"/>
      <c r="Y4" s="702"/>
      <c r="Z4" s="702"/>
      <c r="AA4" s="702"/>
      <c r="AB4" s="702"/>
      <c r="AD4" s="824" t="s">
        <v>479</v>
      </c>
      <c r="AE4" s="825"/>
      <c r="AF4" s="825"/>
    </row>
    <row r="5" spans="1:32" ht="13.5" thickBot="1" x14ac:dyDescent="0.25">
      <c r="A5" s="429"/>
      <c r="B5" s="429"/>
      <c r="C5" s="429"/>
      <c r="D5" s="429"/>
      <c r="E5" s="429"/>
      <c r="F5" s="429"/>
      <c r="G5" s="429"/>
      <c r="H5" s="429"/>
      <c r="I5" s="429"/>
      <c r="J5" s="429"/>
      <c r="K5" s="429"/>
      <c r="L5" s="702"/>
      <c r="M5" s="702"/>
      <c r="N5" s="702"/>
      <c r="O5" s="702"/>
      <c r="P5" s="702"/>
      <c r="Q5" s="702"/>
      <c r="R5" s="702"/>
      <c r="S5" s="702"/>
      <c r="T5" s="702"/>
      <c r="U5" s="702"/>
      <c r="V5" s="702"/>
      <c r="W5" s="702"/>
      <c r="X5" s="702"/>
      <c r="Y5" s="702"/>
      <c r="Z5" s="702"/>
      <c r="AA5" s="702"/>
      <c r="AB5" s="702"/>
      <c r="AD5" s="824" t="s">
        <v>364</v>
      </c>
      <c r="AE5" s="826" t="s">
        <v>208</v>
      </c>
      <c r="AF5" s="826"/>
    </row>
    <row r="6" spans="1:32" ht="63.75" customHeight="1" thickBot="1" x14ac:dyDescent="0.25">
      <c r="A6" s="744"/>
      <c r="B6" s="745"/>
      <c r="C6" s="746"/>
      <c r="D6" s="746"/>
      <c r="E6" s="746"/>
      <c r="F6" s="746"/>
      <c r="G6" s="747"/>
      <c r="H6" s="746"/>
      <c r="I6" s="746"/>
      <c r="J6" s="748"/>
      <c r="K6" s="746"/>
      <c r="L6" s="746"/>
      <c r="M6" s="746"/>
      <c r="N6" s="746"/>
      <c r="O6" s="747"/>
      <c r="P6" s="746"/>
      <c r="Q6" s="746"/>
      <c r="R6" s="748"/>
      <c r="S6" s="746"/>
      <c r="T6" s="746"/>
      <c r="U6" s="746"/>
      <c r="V6" s="746"/>
      <c r="W6" s="749"/>
      <c r="X6" s="749"/>
      <c r="Y6" s="813"/>
      <c r="Z6" s="813"/>
      <c r="AA6" s="813"/>
      <c r="AB6" s="813"/>
      <c r="AD6" s="827" t="s">
        <v>376</v>
      </c>
      <c r="AE6" s="825"/>
      <c r="AF6" s="825"/>
    </row>
    <row r="7" spans="1:32" ht="13.5" thickBot="1" x14ac:dyDescent="0.25">
      <c r="A7" s="750"/>
      <c r="B7" s="751"/>
      <c r="C7" s="752">
        <v>6</v>
      </c>
      <c r="D7" s="753">
        <v>7</v>
      </c>
      <c r="E7" s="753">
        <v>8</v>
      </c>
      <c r="F7" s="754">
        <v>9</v>
      </c>
      <c r="G7" s="752">
        <v>6</v>
      </c>
      <c r="H7" s="753">
        <v>7</v>
      </c>
      <c r="I7" s="753">
        <v>8</v>
      </c>
      <c r="J7" s="754">
        <v>9</v>
      </c>
      <c r="K7" s="752">
        <v>6</v>
      </c>
      <c r="L7" s="753">
        <v>7</v>
      </c>
      <c r="M7" s="753">
        <v>8</v>
      </c>
      <c r="N7" s="754">
        <v>9</v>
      </c>
      <c r="O7" s="752">
        <v>6</v>
      </c>
      <c r="P7" s="753">
        <v>7</v>
      </c>
      <c r="Q7" s="753">
        <v>8</v>
      </c>
      <c r="R7" s="754">
        <v>9</v>
      </c>
      <c r="S7" s="752">
        <v>6</v>
      </c>
      <c r="T7" s="753">
        <v>7</v>
      </c>
      <c r="U7" s="753">
        <v>8</v>
      </c>
      <c r="V7" s="754">
        <v>9</v>
      </c>
      <c r="W7" s="755" t="s">
        <v>209</v>
      </c>
      <c r="X7" s="756" t="s">
        <v>473</v>
      </c>
      <c r="Y7" s="828"/>
      <c r="Z7" s="828"/>
      <c r="AA7" s="828"/>
      <c r="AB7" s="828"/>
      <c r="AD7" s="828"/>
      <c r="AE7" s="828"/>
      <c r="AF7" s="828"/>
    </row>
    <row r="8" spans="1:32" x14ac:dyDescent="0.2">
      <c r="A8" s="757"/>
      <c r="B8" s="758" t="s">
        <v>474</v>
      </c>
      <c r="C8" s="759"/>
      <c r="D8" s="760"/>
      <c r="E8" s="760"/>
      <c r="F8" s="761"/>
      <c r="G8" s="759"/>
      <c r="H8" s="760"/>
      <c r="I8" s="760"/>
      <c r="J8" s="761"/>
      <c r="K8" s="759"/>
      <c r="L8" s="760"/>
      <c r="M8" s="760"/>
      <c r="N8" s="761"/>
      <c r="O8" s="759"/>
      <c r="P8" s="760"/>
      <c r="Q8" s="760"/>
      <c r="R8" s="761"/>
      <c r="S8" s="759"/>
      <c r="T8" s="760"/>
      <c r="U8" s="760"/>
      <c r="V8" s="761"/>
      <c r="W8" s="757"/>
      <c r="X8" s="762"/>
      <c r="Y8" s="813"/>
      <c r="Z8" s="813"/>
      <c r="AA8" s="813"/>
      <c r="AB8" s="813"/>
      <c r="AD8" s="813"/>
      <c r="AE8" s="813"/>
      <c r="AF8" s="813"/>
    </row>
    <row r="9" spans="1:32" x14ac:dyDescent="0.2">
      <c r="A9" s="763">
        <v>1</v>
      </c>
      <c r="B9" s="764" t="s">
        <v>235</v>
      </c>
      <c r="C9" s="765">
        <v>0</v>
      </c>
      <c r="D9" s="766">
        <v>0</v>
      </c>
      <c r="E9" s="766">
        <v>0</v>
      </c>
      <c r="F9" s="767">
        <v>0</v>
      </c>
      <c r="G9" s="765">
        <v>0</v>
      </c>
      <c r="H9" s="766">
        <v>0</v>
      </c>
      <c r="I9" s="766">
        <v>0</v>
      </c>
      <c r="J9" s="767">
        <v>0</v>
      </c>
      <c r="K9" s="765">
        <v>0</v>
      </c>
      <c r="L9" s="766">
        <v>0</v>
      </c>
      <c r="M9" s="766">
        <v>0</v>
      </c>
      <c r="N9" s="767">
        <v>0</v>
      </c>
      <c r="O9" s="765">
        <v>0</v>
      </c>
      <c r="P9" s="766">
        <v>0</v>
      </c>
      <c r="Q9" s="766">
        <v>0</v>
      </c>
      <c r="R9" s="767">
        <v>0</v>
      </c>
      <c r="S9" s="765">
        <v>0</v>
      </c>
      <c r="T9" s="766">
        <v>0</v>
      </c>
      <c r="U9" s="766">
        <v>0</v>
      </c>
      <c r="V9" s="767">
        <v>0</v>
      </c>
      <c r="W9" s="768">
        <f>IF(COUNTA(C9:V9)=0,"",SUM(C9:V9)+COUNTIF(C9:V9,5)/100+COUNTIF(C9:V9,3)/10000)</f>
        <v>0</v>
      </c>
      <c r="X9" s="768">
        <f t="shared" ref="X9:X23" si="0">IF(COUNTA(C9:V9)=0,"",IF(RANK(W9,$W$9:$W$23)&lt;9,"edasi "&amp;RANK(W9,$W$9:$W$23),RANK(W9,$W$9:$W$23)))</f>
        <v>15</v>
      </c>
      <c r="Y9" s="813"/>
      <c r="Z9" s="813"/>
      <c r="AA9" s="813"/>
      <c r="AB9" s="813"/>
      <c r="AD9" s="676">
        <f ca="1">SUM(AF9:AF9)</f>
        <v>158</v>
      </c>
      <c r="AE9" s="829" t="str">
        <f>$B9</f>
        <v>Tõnu Kapper</v>
      </c>
      <c r="AF9" s="830">
        <f ca="1">IFERROR(INDEX(Reit!$I:$I,MATCH(AE9,Reit!$F:$F,0)),"")</f>
        <v>158</v>
      </c>
    </row>
    <row r="10" spans="1:32" x14ac:dyDescent="0.2">
      <c r="A10" s="763">
        <v>2</v>
      </c>
      <c r="B10" s="764" t="s">
        <v>223</v>
      </c>
      <c r="C10" s="765">
        <v>5</v>
      </c>
      <c r="D10" s="766">
        <v>3</v>
      </c>
      <c r="E10" s="766">
        <v>0</v>
      </c>
      <c r="F10" s="767">
        <v>0</v>
      </c>
      <c r="G10" s="765">
        <v>3</v>
      </c>
      <c r="H10" s="766">
        <v>0</v>
      </c>
      <c r="I10" s="766">
        <v>0</v>
      </c>
      <c r="J10" s="767">
        <v>1</v>
      </c>
      <c r="K10" s="765">
        <v>1</v>
      </c>
      <c r="L10" s="766">
        <v>0</v>
      </c>
      <c r="M10" s="766">
        <v>0</v>
      </c>
      <c r="N10" s="767">
        <v>0</v>
      </c>
      <c r="O10" s="765">
        <v>0</v>
      </c>
      <c r="P10" s="766">
        <v>0</v>
      </c>
      <c r="Q10" s="766">
        <v>0</v>
      </c>
      <c r="R10" s="767">
        <v>0</v>
      </c>
      <c r="S10" s="765">
        <v>3</v>
      </c>
      <c r="T10" s="766">
        <v>3</v>
      </c>
      <c r="U10" s="766">
        <v>0</v>
      </c>
      <c r="V10" s="767">
        <v>0</v>
      </c>
      <c r="W10" s="768">
        <f t="shared" ref="W10:W23" si="1">IF(COUNTA(C10:V10)=0,"",SUM(C10:V10)+COUNTIF(C10:V10,5)/100+COUNTIF(C10:V10,3)/10000)</f>
        <v>19.010400000000001</v>
      </c>
      <c r="X10" s="768" t="str">
        <f t="shared" si="0"/>
        <v>edasi 3</v>
      </c>
      <c r="Y10" s="813"/>
      <c r="Z10" s="813"/>
      <c r="AA10" s="813"/>
      <c r="AB10" s="813"/>
      <c r="AD10" s="676">
        <f t="shared" ref="AD10:AD23" ca="1" si="2">SUM(AF10:AF10)</f>
        <v>258</v>
      </c>
      <c r="AE10" s="829" t="str">
        <f t="shared" ref="AE10:AE23" si="3">$B10</f>
        <v>Oleg Rõndenkov</v>
      </c>
      <c r="AF10" s="830">
        <f ca="1">IFERROR(INDEX(Reit!$I:$I,MATCH(AE10,Reit!$F:$F,0)),"")</f>
        <v>258</v>
      </c>
    </row>
    <row r="11" spans="1:32" x14ac:dyDescent="0.2">
      <c r="A11" s="769">
        <v>3</v>
      </c>
      <c r="B11" s="770" t="s">
        <v>233</v>
      </c>
      <c r="C11" s="771">
        <v>3</v>
      </c>
      <c r="D11" s="772">
        <v>0</v>
      </c>
      <c r="E11" s="772">
        <v>0</v>
      </c>
      <c r="F11" s="773">
        <v>0</v>
      </c>
      <c r="G11" s="771">
        <v>0</v>
      </c>
      <c r="H11" s="772">
        <v>3</v>
      </c>
      <c r="I11" s="772">
        <v>3</v>
      </c>
      <c r="J11" s="773">
        <v>0</v>
      </c>
      <c r="K11" s="771">
        <v>1</v>
      </c>
      <c r="L11" s="772">
        <v>1</v>
      </c>
      <c r="M11" s="772">
        <v>0</v>
      </c>
      <c r="N11" s="773">
        <v>0</v>
      </c>
      <c r="O11" s="771">
        <v>0</v>
      </c>
      <c r="P11" s="772">
        <v>0</v>
      </c>
      <c r="Q11" s="772">
        <v>0</v>
      </c>
      <c r="R11" s="773">
        <v>0</v>
      </c>
      <c r="S11" s="771">
        <v>0</v>
      </c>
      <c r="T11" s="772">
        <v>0</v>
      </c>
      <c r="U11" s="772">
        <v>0</v>
      </c>
      <c r="V11" s="773">
        <v>0</v>
      </c>
      <c r="W11" s="774">
        <f t="shared" si="1"/>
        <v>11.000299999999999</v>
      </c>
      <c r="X11" s="774" t="str">
        <f t="shared" si="0"/>
        <v>edasi 8</v>
      </c>
      <c r="Y11" s="813"/>
      <c r="Z11" s="813"/>
      <c r="AA11" s="813"/>
      <c r="AB11" s="813"/>
      <c r="AD11" s="676">
        <f t="shared" ca="1" si="2"/>
        <v>160</v>
      </c>
      <c r="AE11" s="829" t="str">
        <f t="shared" si="3"/>
        <v>Svetlana Veski</v>
      </c>
      <c r="AF11" s="830">
        <f ca="1">IFERROR(INDEX(Reit!$I:$I,MATCH(AE11,Reit!$F:$F,0)),"")</f>
        <v>160</v>
      </c>
    </row>
    <row r="12" spans="1:32" x14ac:dyDescent="0.2">
      <c r="A12" s="769">
        <v>4</v>
      </c>
      <c r="B12" s="775" t="s">
        <v>225</v>
      </c>
      <c r="C12" s="771">
        <v>0</v>
      </c>
      <c r="D12" s="772">
        <v>0</v>
      </c>
      <c r="E12" s="772">
        <v>0</v>
      </c>
      <c r="F12" s="773">
        <v>1</v>
      </c>
      <c r="G12" s="771">
        <v>0</v>
      </c>
      <c r="H12" s="772">
        <v>0</v>
      </c>
      <c r="I12" s="772">
        <v>0</v>
      </c>
      <c r="J12" s="773">
        <v>0</v>
      </c>
      <c r="K12" s="771">
        <v>5</v>
      </c>
      <c r="L12" s="772">
        <v>0</v>
      </c>
      <c r="M12" s="772">
        <v>0</v>
      </c>
      <c r="N12" s="773">
        <v>0</v>
      </c>
      <c r="O12" s="771">
        <v>1</v>
      </c>
      <c r="P12" s="772">
        <v>1</v>
      </c>
      <c r="Q12" s="772">
        <v>0</v>
      </c>
      <c r="R12" s="773">
        <v>0</v>
      </c>
      <c r="S12" s="771">
        <v>0</v>
      </c>
      <c r="T12" s="772">
        <v>0</v>
      </c>
      <c r="U12" s="772">
        <v>3</v>
      </c>
      <c r="V12" s="773">
        <v>0</v>
      </c>
      <c r="W12" s="774">
        <f t="shared" si="1"/>
        <v>11.0101</v>
      </c>
      <c r="X12" s="774" t="str">
        <f t="shared" si="0"/>
        <v>edasi 7</v>
      </c>
      <c r="Y12" s="813"/>
      <c r="Z12" s="813"/>
      <c r="AA12" s="813"/>
      <c r="AB12" s="813"/>
      <c r="AD12" s="676">
        <f t="shared" ca="1" si="2"/>
        <v>258</v>
      </c>
      <c r="AE12" s="829" t="str">
        <f t="shared" si="3"/>
        <v>Kenneth Muusikus</v>
      </c>
      <c r="AF12" s="830">
        <f ca="1">IFERROR(INDEX(Reit!$I:$I,MATCH(AE12,Reit!$F:$F,0)),"")</f>
        <v>258</v>
      </c>
    </row>
    <row r="13" spans="1:32" x14ac:dyDescent="0.2">
      <c r="A13" s="763">
        <v>5</v>
      </c>
      <c r="B13" s="776" t="s">
        <v>20</v>
      </c>
      <c r="C13" s="765">
        <v>3</v>
      </c>
      <c r="D13" s="766">
        <v>0</v>
      </c>
      <c r="E13" s="766">
        <v>3</v>
      </c>
      <c r="F13" s="767">
        <v>5</v>
      </c>
      <c r="G13" s="765">
        <v>0</v>
      </c>
      <c r="H13" s="766">
        <v>0</v>
      </c>
      <c r="I13" s="766">
        <v>0</v>
      </c>
      <c r="J13" s="767">
        <v>0</v>
      </c>
      <c r="K13" s="765">
        <v>0</v>
      </c>
      <c r="L13" s="766">
        <v>1</v>
      </c>
      <c r="M13" s="766">
        <v>1</v>
      </c>
      <c r="N13" s="767">
        <v>0</v>
      </c>
      <c r="O13" s="765">
        <v>3</v>
      </c>
      <c r="P13" s="766">
        <v>0</v>
      </c>
      <c r="Q13" s="766">
        <v>5</v>
      </c>
      <c r="R13" s="767">
        <v>0</v>
      </c>
      <c r="S13" s="765">
        <v>5</v>
      </c>
      <c r="T13" s="766">
        <v>0</v>
      </c>
      <c r="U13" s="766">
        <v>0</v>
      </c>
      <c r="V13" s="767">
        <v>0</v>
      </c>
      <c r="W13" s="768">
        <f t="shared" si="1"/>
        <v>26.0303</v>
      </c>
      <c r="X13" s="768" t="str">
        <f t="shared" si="0"/>
        <v>edasi 1</v>
      </c>
      <c r="Y13" s="813"/>
      <c r="Z13" s="813"/>
      <c r="AA13" s="813"/>
      <c r="AB13" s="813"/>
      <c r="AD13" s="676">
        <f t="shared" ca="1" si="2"/>
        <v>364</v>
      </c>
      <c r="AE13" s="829" t="str">
        <f t="shared" si="3"/>
        <v>Ivar Viljaste</v>
      </c>
      <c r="AF13" s="830">
        <f ca="1">IFERROR(INDEX(Reit!$I:$I,MATCH(AE13,Reit!$F:$F,0)),"")</f>
        <v>364</v>
      </c>
    </row>
    <row r="14" spans="1:32" x14ac:dyDescent="0.2">
      <c r="A14" s="763">
        <v>6</v>
      </c>
      <c r="B14" s="764" t="s">
        <v>243</v>
      </c>
      <c r="C14" s="765">
        <v>3</v>
      </c>
      <c r="D14" s="766">
        <v>0</v>
      </c>
      <c r="E14" s="766">
        <v>3</v>
      </c>
      <c r="F14" s="767">
        <v>0</v>
      </c>
      <c r="G14" s="765">
        <v>0</v>
      </c>
      <c r="H14" s="766">
        <v>0</v>
      </c>
      <c r="I14" s="766">
        <v>0</v>
      </c>
      <c r="J14" s="767">
        <v>0</v>
      </c>
      <c r="K14" s="765">
        <v>1</v>
      </c>
      <c r="L14" s="766">
        <v>0</v>
      </c>
      <c r="M14" s="766">
        <v>3</v>
      </c>
      <c r="N14" s="767">
        <v>0</v>
      </c>
      <c r="O14" s="765">
        <v>0</v>
      </c>
      <c r="P14" s="766">
        <v>0</v>
      </c>
      <c r="Q14" s="766">
        <v>0</v>
      </c>
      <c r="R14" s="767">
        <v>0</v>
      </c>
      <c r="S14" s="765">
        <v>0</v>
      </c>
      <c r="T14" s="766">
        <v>0</v>
      </c>
      <c r="U14" s="766">
        <v>0</v>
      </c>
      <c r="V14" s="767">
        <v>0</v>
      </c>
      <c r="W14" s="768">
        <f t="shared" si="1"/>
        <v>10.000299999999999</v>
      </c>
      <c r="X14" s="768">
        <f t="shared" si="0"/>
        <v>9</v>
      </c>
      <c r="Y14" s="813"/>
      <c r="Z14" s="813"/>
      <c r="AA14" s="813"/>
      <c r="AB14" s="813"/>
      <c r="AD14" s="676">
        <f t="shared" ca="1" si="2"/>
        <v>87</v>
      </c>
      <c r="AE14" s="829" t="str">
        <f t="shared" si="3"/>
        <v>Kalle Orro</v>
      </c>
      <c r="AF14" s="830">
        <f ca="1">IFERROR(INDEX(Reit!$I:$I,MATCH(AE14,Reit!$F:$F,0)),"")</f>
        <v>87</v>
      </c>
    </row>
    <row r="15" spans="1:32" x14ac:dyDescent="0.2">
      <c r="A15" s="769">
        <v>7</v>
      </c>
      <c r="B15" s="775" t="s">
        <v>222</v>
      </c>
      <c r="C15" s="771">
        <v>3</v>
      </c>
      <c r="D15" s="772">
        <v>3</v>
      </c>
      <c r="E15" s="772">
        <v>0</v>
      </c>
      <c r="F15" s="773">
        <v>0</v>
      </c>
      <c r="G15" s="771">
        <v>0</v>
      </c>
      <c r="H15" s="772">
        <v>0</v>
      </c>
      <c r="I15" s="772">
        <v>1</v>
      </c>
      <c r="J15" s="773">
        <v>0</v>
      </c>
      <c r="K15" s="771">
        <v>0</v>
      </c>
      <c r="L15" s="772">
        <v>0</v>
      </c>
      <c r="M15" s="772">
        <v>0</v>
      </c>
      <c r="N15" s="773">
        <v>0</v>
      </c>
      <c r="O15" s="771">
        <v>0</v>
      </c>
      <c r="P15" s="772">
        <v>3</v>
      </c>
      <c r="Q15" s="772">
        <v>0</v>
      </c>
      <c r="R15" s="773">
        <v>0</v>
      </c>
      <c r="S15" s="771">
        <v>0</v>
      </c>
      <c r="T15" s="772">
        <v>0</v>
      </c>
      <c r="U15" s="772">
        <v>0</v>
      </c>
      <c r="V15" s="773">
        <v>0</v>
      </c>
      <c r="W15" s="774">
        <f t="shared" si="1"/>
        <v>10.000299999999999</v>
      </c>
      <c r="X15" s="774">
        <f t="shared" si="0"/>
        <v>9</v>
      </c>
      <c r="Y15" s="813"/>
      <c r="Z15" s="813"/>
      <c r="AA15" s="813"/>
      <c r="AB15" s="813"/>
      <c r="AD15" s="676">
        <f t="shared" ca="1" si="2"/>
        <v>294</v>
      </c>
      <c r="AE15" s="829" t="str">
        <f t="shared" si="3"/>
        <v>Matti Vinni</v>
      </c>
      <c r="AF15" s="830">
        <f ca="1">IFERROR(INDEX(Reit!$I:$I,MATCH(AE15,Reit!$F:$F,0)),"")</f>
        <v>294</v>
      </c>
    </row>
    <row r="16" spans="1:32" x14ac:dyDescent="0.2">
      <c r="A16" s="769">
        <v>8</v>
      </c>
      <c r="B16" s="777" t="s">
        <v>232</v>
      </c>
      <c r="C16" s="771">
        <v>3</v>
      </c>
      <c r="D16" s="772">
        <v>0</v>
      </c>
      <c r="E16" s="772">
        <v>0</v>
      </c>
      <c r="F16" s="773">
        <v>0</v>
      </c>
      <c r="G16" s="771">
        <v>0</v>
      </c>
      <c r="H16" s="772">
        <v>0</v>
      </c>
      <c r="I16" s="772">
        <v>0</v>
      </c>
      <c r="J16" s="773">
        <v>0</v>
      </c>
      <c r="K16" s="771">
        <v>1</v>
      </c>
      <c r="L16" s="772">
        <v>0</v>
      </c>
      <c r="M16" s="772">
        <v>0</v>
      </c>
      <c r="N16" s="773">
        <v>0</v>
      </c>
      <c r="O16" s="771">
        <v>0</v>
      </c>
      <c r="P16" s="772">
        <v>0</v>
      </c>
      <c r="Q16" s="772">
        <v>0</v>
      </c>
      <c r="R16" s="773">
        <v>0</v>
      </c>
      <c r="S16" s="771">
        <v>0</v>
      </c>
      <c r="T16" s="772">
        <v>3</v>
      </c>
      <c r="U16" s="772">
        <v>0</v>
      </c>
      <c r="V16" s="773">
        <v>0</v>
      </c>
      <c r="W16" s="774">
        <f t="shared" si="1"/>
        <v>7.0002000000000004</v>
      </c>
      <c r="X16" s="774">
        <f t="shared" si="0"/>
        <v>12</v>
      </c>
      <c r="Y16" s="813"/>
      <c r="Z16" s="813"/>
      <c r="AA16" s="813"/>
      <c r="AB16" s="813"/>
      <c r="AD16" s="676">
        <f t="shared" ca="1" si="2"/>
        <v>168</v>
      </c>
      <c r="AE16" s="829" t="str">
        <f t="shared" si="3"/>
        <v>Andrei Grintšak</v>
      </c>
      <c r="AF16" s="830">
        <f ca="1">IFERROR(INDEX(Reit!$I:$I,MATCH(AE16,Reit!$F:$F,0)),"")</f>
        <v>168</v>
      </c>
    </row>
    <row r="17" spans="1:32" x14ac:dyDescent="0.2">
      <c r="A17" s="763">
        <v>9</v>
      </c>
      <c r="B17" s="776" t="s">
        <v>228</v>
      </c>
      <c r="C17" s="765">
        <v>0</v>
      </c>
      <c r="D17" s="766">
        <v>3</v>
      </c>
      <c r="E17" s="766">
        <v>0</v>
      </c>
      <c r="F17" s="767">
        <v>0</v>
      </c>
      <c r="G17" s="765">
        <v>1</v>
      </c>
      <c r="H17" s="766">
        <v>0</v>
      </c>
      <c r="I17" s="766">
        <v>0</v>
      </c>
      <c r="J17" s="767">
        <v>0</v>
      </c>
      <c r="K17" s="765">
        <v>3</v>
      </c>
      <c r="L17" s="766">
        <v>5</v>
      </c>
      <c r="M17" s="766">
        <v>1</v>
      </c>
      <c r="N17" s="767">
        <v>0</v>
      </c>
      <c r="O17" s="765">
        <v>3</v>
      </c>
      <c r="P17" s="766">
        <v>0</v>
      </c>
      <c r="Q17" s="766">
        <v>0</v>
      </c>
      <c r="R17" s="767">
        <v>0</v>
      </c>
      <c r="S17" s="765">
        <v>0</v>
      </c>
      <c r="T17" s="766">
        <v>0</v>
      </c>
      <c r="U17" s="766">
        <v>0</v>
      </c>
      <c r="V17" s="767">
        <v>0</v>
      </c>
      <c r="W17" s="768">
        <f t="shared" si="1"/>
        <v>16.010300000000001</v>
      </c>
      <c r="X17" s="768" t="str">
        <f t="shared" si="0"/>
        <v>edasi 4</v>
      </c>
      <c r="Y17" s="813"/>
      <c r="Z17" s="813"/>
      <c r="AA17" s="813"/>
      <c r="AB17" s="813"/>
      <c r="AD17" s="676">
        <f t="shared" ca="1" si="2"/>
        <v>228</v>
      </c>
      <c r="AE17" s="829" t="str">
        <f t="shared" si="3"/>
        <v>Mait Metsla</v>
      </c>
      <c r="AF17" s="830">
        <f ca="1">IFERROR(INDEX(Reit!$I:$I,MATCH(AE17,Reit!$F:$F,0)),"")</f>
        <v>228</v>
      </c>
    </row>
    <row r="18" spans="1:32" x14ac:dyDescent="0.2">
      <c r="A18" s="763">
        <v>10</v>
      </c>
      <c r="B18" s="764" t="s">
        <v>220</v>
      </c>
      <c r="C18" s="765">
        <v>0</v>
      </c>
      <c r="D18" s="766">
        <v>5</v>
      </c>
      <c r="E18" s="766">
        <v>0</v>
      </c>
      <c r="F18" s="767">
        <v>3</v>
      </c>
      <c r="G18" s="765">
        <v>3</v>
      </c>
      <c r="H18" s="766">
        <v>3</v>
      </c>
      <c r="I18" s="766">
        <v>0</v>
      </c>
      <c r="J18" s="767">
        <v>0</v>
      </c>
      <c r="K18" s="765">
        <v>1</v>
      </c>
      <c r="L18" s="766">
        <v>1</v>
      </c>
      <c r="M18" s="766">
        <v>3</v>
      </c>
      <c r="N18" s="767">
        <v>0</v>
      </c>
      <c r="O18" s="765">
        <v>0</v>
      </c>
      <c r="P18" s="766">
        <v>0</v>
      </c>
      <c r="Q18" s="766">
        <v>1</v>
      </c>
      <c r="R18" s="767">
        <v>0</v>
      </c>
      <c r="S18" s="765">
        <v>5</v>
      </c>
      <c r="T18" s="766">
        <v>0</v>
      </c>
      <c r="U18" s="766">
        <v>0</v>
      </c>
      <c r="V18" s="767">
        <v>0</v>
      </c>
      <c r="W18" s="768">
        <f t="shared" si="1"/>
        <v>25.020399999999999</v>
      </c>
      <c r="X18" s="768" t="str">
        <f t="shared" si="0"/>
        <v>edasi 2</v>
      </c>
      <c r="Y18" s="813"/>
      <c r="Z18" s="813"/>
      <c r="AA18" s="813"/>
      <c r="AB18" s="813"/>
      <c r="AD18" s="676">
        <f t="shared" ca="1" si="2"/>
        <v>330</v>
      </c>
      <c r="AE18" s="829" t="str">
        <f t="shared" si="3"/>
        <v>Oskar Sepp</v>
      </c>
      <c r="AF18" s="830">
        <f ca="1">IFERROR(INDEX(Reit!$I:$I,MATCH(AE18,Reit!$F:$F,0)),"")</f>
        <v>330</v>
      </c>
    </row>
    <row r="19" spans="1:32" x14ac:dyDescent="0.2">
      <c r="A19" s="769">
        <v>11</v>
      </c>
      <c r="B19" s="778" t="s">
        <v>227</v>
      </c>
      <c r="C19" s="771">
        <v>0</v>
      </c>
      <c r="D19" s="772">
        <v>3</v>
      </c>
      <c r="E19" s="772">
        <v>3</v>
      </c>
      <c r="F19" s="773">
        <v>3</v>
      </c>
      <c r="G19" s="771">
        <v>0</v>
      </c>
      <c r="H19" s="772">
        <v>0</v>
      </c>
      <c r="I19" s="772">
        <v>0</v>
      </c>
      <c r="J19" s="773">
        <v>0</v>
      </c>
      <c r="K19" s="771">
        <v>0</v>
      </c>
      <c r="L19" s="772">
        <v>0</v>
      </c>
      <c r="M19" s="772">
        <v>0</v>
      </c>
      <c r="N19" s="773">
        <v>0</v>
      </c>
      <c r="O19" s="771">
        <v>0</v>
      </c>
      <c r="P19" s="772">
        <v>0</v>
      </c>
      <c r="Q19" s="772">
        <v>0</v>
      </c>
      <c r="R19" s="773">
        <v>0</v>
      </c>
      <c r="S19" s="771">
        <v>0</v>
      </c>
      <c r="T19" s="772">
        <v>0</v>
      </c>
      <c r="U19" s="772">
        <v>0</v>
      </c>
      <c r="V19" s="773">
        <v>0</v>
      </c>
      <c r="W19" s="774">
        <f t="shared" si="1"/>
        <v>9.0002999999999993</v>
      </c>
      <c r="X19" s="774">
        <f t="shared" si="0"/>
        <v>11</v>
      </c>
      <c r="Y19" s="813"/>
      <c r="Z19" s="813"/>
      <c r="AA19" s="813"/>
      <c r="AB19" s="813"/>
      <c r="AD19" s="676">
        <f t="shared" ca="1" si="2"/>
        <v>234</v>
      </c>
      <c r="AE19" s="829" t="str">
        <f t="shared" si="3"/>
        <v>Andres Veski</v>
      </c>
      <c r="AF19" s="830">
        <f ca="1">IFERROR(INDEX(Reit!$I:$I,MATCH(AE19,Reit!$F:$F,0)),"")</f>
        <v>234</v>
      </c>
    </row>
    <row r="20" spans="1:32" x14ac:dyDescent="0.2">
      <c r="A20" s="769">
        <v>12</v>
      </c>
      <c r="B20" s="778" t="s">
        <v>237</v>
      </c>
      <c r="C20" s="771">
        <v>0</v>
      </c>
      <c r="D20" s="772">
        <v>0</v>
      </c>
      <c r="E20" s="772">
        <v>0</v>
      </c>
      <c r="F20" s="773">
        <v>0</v>
      </c>
      <c r="G20" s="771">
        <v>0</v>
      </c>
      <c r="H20" s="772">
        <v>0</v>
      </c>
      <c r="I20" s="772">
        <v>0</v>
      </c>
      <c r="J20" s="773">
        <v>0</v>
      </c>
      <c r="K20" s="771">
        <v>0</v>
      </c>
      <c r="L20" s="772">
        <v>0</v>
      </c>
      <c r="M20" s="772">
        <v>3</v>
      </c>
      <c r="N20" s="773">
        <v>3</v>
      </c>
      <c r="O20" s="771">
        <v>0</v>
      </c>
      <c r="P20" s="772">
        <v>0</v>
      </c>
      <c r="Q20" s="772">
        <v>0</v>
      </c>
      <c r="R20" s="773">
        <v>0</v>
      </c>
      <c r="S20" s="771">
        <v>0</v>
      </c>
      <c r="T20" s="772">
        <v>0</v>
      </c>
      <c r="U20" s="772">
        <v>0</v>
      </c>
      <c r="V20" s="773">
        <v>0</v>
      </c>
      <c r="W20" s="774">
        <f t="shared" si="1"/>
        <v>6.0002000000000004</v>
      </c>
      <c r="X20" s="774">
        <f t="shared" si="0"/>
        <v>13</v>
      </c>
      <c r="Y20" s="813"/>
      <c r="Z20" s="813"/>
      <c r="AA20" s="813"/>
      <c r="AB20" s="813"/>
      <c r="AD20" s="676">
        <f t="shared" ca="1" si="2"/>
        <v>124</v>
      </c>
      <c r="AE20" s="829" t="str">
        <f t="shared" si="3"/>
        <v>Vladimir Ogneštšikov</v>
      </c>
      <c r="AF20" s="830">
        <f ca="1">IFERROR(INDEX(Reit!$I:$I,MATCH(AE20,Reit!$F:$F,0)),"")</f>
        <v>124</v>
      </c>
    </row>
    <row r="21" spans="1:32" x14ac:dyDescent="0.2">
      <c r="A21" s="763">
        <v>13</v>
      </c>
      <c r="B21" s="776" t="s">
        <v>221</v>
      </c>
      <c r="C21" s="765">
        <v>0</v>
      </c>
      <c r="D21" s="766">
        <v>0</v>
      </c>
      <c r="E21" s="766">
        <v>0</v>
      </c>
      <c r="F21" s="767">
        <v>0</v>
      </c>
      <c r="G21" s="765">
        <v>0</v>
      </c>
      <c r="H21" s="766">
        <v>0</v>
      </c>
      <c r="I21" s="766">
        <v>0</v>
      </c>
      <c r="J21" s="767">
        <v>0</v>
      </c>
      <c r="K21" s="765">
        <v>3</v>
      </c>
      <c r="L21" s="766">
        <v>0</v>
      </c>
      <c r="M21" s="766">
        <v>0</v>
      </c>
      <c r="N21" s="767">
        <v>0</v>
      </c>
      <c r="O21" s="765">
        <v>0</v>
      </c>
      <c r="P21" s="766">
        <v>0</v>
      </c>
      <c r="Q21" s="766">
        <v>3</v>
      </c>
      <c r="R21" s="767">
        <v>1</v>
      </c>
      <c r="S21" s="765">
        <v>0</v>
      </c>
      <c r="T21" s="766">
        <v>0</v>
      </c>
      <c r="U21" s="766">
        <v>5</v>
      </c>
      <c r="V21" s="767">
        <v>0</v>
      </c>
      <c r="W21" s="768">
        <f t="shared" si="1"/>
        <v>12.010199999999999</v>
      </c>
      <c r="X21" s="768" t="str">
        <f t="shared" si="0"/>
        <v>edasi 6</v>
      </c>
      <c r="Y21" s="813"/>
      <c r="Z21" s="813"/>
      <c r="AA21" s="813"/>
      <c r="AB21" s="813"/>
      <c r="AD21" s="676">
        <f t="shared" ca="1" si="2"/>
        <v>310</v>
      </c>
      <c r="AE21" s="829" t="str">
        <f t="shared" si="3"/>
        <v>Jaan Sepp</v>
      </c>
      <c r="AF21" s="830">
        <f ca="1">IFERROR(INDEX(Reit!$I:$I,MATCH(AE21,Reit!$F:$F,0)),"")</f>
        <v>310</v>
      </c>
    </row>
    <row r="22" spans="1:32" x14ac:dyDescent="0.2">
      <c r="A22" s="763">
        <v>14</v>
      </c>
      <c r="B22" s="764" t="s">
        <v>231</v>
      </c>
      <c r="C22" s="765">
        <v>0</v>
      </c>
      <c r="D22" s="766">
        <v>0</v>
      </c>
      <c r="E22" s="766">
        <v>3</v>
      </c>
      <c r="F22" s="767">
        <v>0</v>
      </c>
      <c r="G22" s="765">
        <v>3</v>
      </c>
      <c r="H22" s="766">
        <v>1</v>
      </c>
      <c r="I22" s="766">
        <v>0</v>
      </c>
      <c r="J22" s="767">
        <v>0</v>
      </c>
      <c r="K22" s="765">
        <v>0</v>
      </c>
      <c r="L22" s="766">
        <v>1</v>
      </c>
      <c r="M22" s="766">
        <v>0</v>
      </c>
      <c r="N22" s="767">
        <v>0</v>
      </c>
      <c r="O22" s="765">
        <v>0</v>
      </c>
      <c r="P22" s="766">
        <v>0</v>
      </c>
      <c r="Q22" s="766">
        <v>0</v>
      </c>
      <c r="R22" s="767">
        <v>0</v>
      </c>
      <c r="S22" s="765">
        <v>5</v>
      </c>
      <c r="T22" s="766">
        <v>0</v>
      </c>
      <c r="U22" s="766">
        <v>0</v>
      </c>
      <c r="V22" s="767">
        <v>0</v>
      </c>
      <c r="W22" s="768">
        <f t="shared" si="1"/>
        <v>13.010199999999999</v>
      </c>
      <c r="X22" s="768" t="str">
        <f t="shared" si="0"/>
        <v>edasi 5</v>
      </c>
      <c r="Y22" s="813"/>
      <c r="Z22" s="813"/>
      <c r="AA22" s="813"/>
      <c r="AB22" s="813"/>
      <c r="AD22" s="676">
        <f t="shared" ca="1" si="2"/>
        <v>190</v>
      </c>
      <c r="AE22" s="829" t="str">
        <f t="shared" si="3"/>
        <v>Boriss Klubov</v>
      </c>
      <c r="AF22" s="830">
        <f ca="1">IFERROR(INDEX(Reit!$I:$I,MATCH(AE22,Reit!$F:$F,0)),"")</f>
        <v>190</v>
      </c>
    </row>
    <row r="23" spans="1:32" ht="13.5" thickBot="1" x14ac:dyDescent="0.25">
      <c r="A23" s="779">
        <v>15</v>
      </c>
      <c r="B23" s="780" t="s">
        <v>229</v>
      </c>
      <c r="C23" s="781">
        <v>1</v>
      </c>
      <c r="D23" s="782">
        <v>0</v>
      </c>
      <c r="E23" s="782">
        <v>0</v>
      </c>
      <c r="F23" s="783">
        <v>0</v>
      </c>
      <c r="G23" s="781">
        <v>0</v>
      </c>
      <c r="H23" s="782">
        <v>0</v>
      </c>
      <c r="I23" s="782">
        <v>0</v>
      </c>
      <c r="J23" s="783">
        <v>0</v>
      </c>
      <c r="K23" s="781">
        <v>1</v>
      </c>
      <c r="L23" s="782">
        <v>1</v>
      </c>
      <c r="M23" s="782">
        <v>0</v>
      </c>
      <c r="N23" s="783">
        <v>0</v>
      </c>
      <c r="O23" s="781">
        <v>0</v>
      </c>
      <c r="P23" s="782">
        <v>0</v>
      </c>
      <c r="Q23" s="782">
        <v>0</v>
      </c>
      <c r="R23" s="783">
        <v>0</v>
      </c>
      <c r="S23" s="781">
        <v>0</v>
      </c>
      <c r="T23" s="782">
        <v>0</v>
      </c>
      <c r="U23" s="782">
        <v>3</v>
      </c>
      <c r="V23" s="783">
        <v>0</v>
      </c>
      <c r="W23" s="784">
        <f t="shared" si="1"/>
        <v>6.0000999999999998</v>
      </c>
      <c r="X23" s="784">
        <f t="shared" si="0"/>
        <v>14</v>
      </c>
      <c r="Y23" s="831"/>
      <c r="Z23" s="832" t="s">
        <v>480</v>
      </c>
      <c r="AA23" s="832" t="s">
        <v>481</v>
      </c>
      <c r="AB23" s="813"/>
      <c r="AD23" s="676">
        <f t="shared" ca="1" si="2"/>
        <v>224</v>
      </c>
      <c r="AE23" s="829" t="str">
        <f t="shared" si="3"/>
        <v>Janek Tarto</v>
      </c>
      <c r="AF23" s="830">
        <f ca="1">IFERROR(INDEX(Reit!$I:$I,MATCH(AE23,Reit!$F:$F,0)),"")</f>
        <v>224</v>
      </c>
    </row>
    <row r="24" spans="1:32" x14ac:dyDescent="0.2">
      <c r="A24" s="785"/>
      <c r="B24" s="758" t="s">
        <v>475</v>
      </c>
      <c r="C24" s="759"/>
      <c r="D24" s="760"/>
      <c r="E24" s="760"/>
      <c r="F24" s="761"/>
      <c r="G24" s="759"/>
      <c r="H24" s="760"/>
      <c r="I24" s="760"/>
      <c r="J24" s="761"/>
      <c r="K24" s="759"/>
      <c r="L24" s="760"/>
      <c r="M24" s="760"/>
      <c r="N24" s="761"/>
      <c r="O24" s="759"/>
      <c r="P24" s="760"/>
      <c r="Q24" s="760"/>
      <c r="R24" s="761"/>
      <c r="S24" s="759"/>
      <c r="T24" s="760"/>
      <c r="U24" s="760"/>
      <c r="V24" s="761"/>
      <c r="W24" s="762"/>
      <c r="X24" s="762"/>
      <c r="Y24" s="833">
        <f>IF(COUNTA(C25:V25)=0,100,W25+IF(RANK(W25,$W$25:$W$26)=1,100,0))</f>
        <v>7</v>
      </c>
      <c r="Z24" s="832">
        <f>MIN(W25:W26)</f>
        <v>7</v>
      </c>
      <c r="AA24" s="832">
        <f>MAX(W25:W26)</f>
        <v>17</v>
      </c>
      <c r="AB24" s="813"/>
      <c r="AC24" s="813"/>
      <c r="AD24" s="813"/>
    </row>
    <row r="25" spans="1:32" x14ac:dyDescent="0.2">
      <c r="A25" s="786">
        <v>4</v>
      </c>
      <c r="B25" s="787" t="str">
        <f t="shared" ref="B25:B32" si="4">IFERROR(INDEX(B$9:B$23,MATCH("edasi "&amp;A25,X$9:X$23,0)),"")</f>
        <v>Mait Metsla</v>
      </c>
      <c r="C25" s="788">
        <v>3</v>
      </c>
      <c r="D25" s="789">
        <v>0</v>
      </c>
      <c r="E25" s="789">
        <v>0</v>
      </c>
      <c r="F25" s="790">
        <v>0</v>
      </c>
      <c r="G25" s="788">
        <v>0</v>
      </c>
      <c r="H25" s="789">
        <v>0</v>
      </c>
      <c r="I25" s="789">
        <v>0</v>
      </c>
      <c r="J25" s="790">
        <v>0</v>
      </c>
      <c r="K25" s="788">
        <v>1</v>
      </c>
      <c r="L25" s="789">
        <v>0</v>
      </c>
      <c r="M25" s="789">
        <v>0</v>
      </c>
      <c r="N25" s="790">
        <v>0</v>
      </c>
      <c r="O25" s="788">
        <v>3</v>
      </c>
      <c r="P25" s="789">
        <v>0</v>
      </c>
      <c r="Q25" s="789">
        <v>0</v>
      </c>
      <c r="R25" s="790">
        <v>0</v>
      </c>
      <c r="S25" s="788">
        <v>0</v>
      </c>
      <c r="T25" s="789">
        <v>0</v>
      </c>
      <c r="U25" s="789">
        <v>0</v>
      </c>
      <c r="V25" s="790">
        <v>0</v>
      </c>
      <c r="W25" s="768">
        <f t="shared" ref="W25:W32" si="5">SUM(C25:V25)</f>
        <v>7</v>
      </c>
      <c r="X25" s="791">
        <f>IF(ISBLANK(C25),"",IF(RANK(Y24,$Y$24:$Y$25)&lt;2,"edasi "&amp;RANK(W25,$AA$24:$AA$31),RANK(W25,$Z$24:$Z$31)+4))</f>
        <v>6</v>
      </c>
      <c r="Y25" s="834">
        <f>IF(COUNTA(C26:V26)=0,0,W26+IF(RANK(W26,$W$25:$W$26)=1,100,0))</f>
        <v>117</v>
      </c>
      <c r="Z25" s="832"/>
      <c r="AA25" s="832"/>
      <c r="AB25" s="813"/>
      <c r="AC25" s="813"/>
      <c r="AD25" s="813"/>
    </row>
    <row r="26" spans="1:32" x14ac:dyDescent="0.2">
      <c r="A26" s="786">
        <v>5</v>
      </c>
      <c r="B26" s="787" t="str">
        <f t="shared" si="4"/>
        <v>Boriss Klubov</v>
      </c>
      <c r="C26" s="788">
        <v>0</v>
      </c>
      <c r="D26" s="789">
        <v>0</v>
      </c>
      <c r="E26" s="789">
        <v>0</v>
      </c>
      <c r="F26" s="790">
        <v>0</v>
      </c>
      <c r="G26" s="788">
        <v>0</v>
      </c>
      <c r="H26" s="789">
        <v>0</v>
      </c>
      <c r="I26" s="789">
        <v>0</v>
      </c>
      <c r="J26" s="790">
        <v>0</v>
      </c>
      <c r="K26" s="788">
        <v>3</v>
      </c>
      <c r="L26" s="789">
        <v>1</v>
      </c>
      <c r="M26" s="789">
        <v>0</v>
      </c>
      <c r="N26" s="790">
        <v>0</v>
      </c>
      <c r="O26" s="788">
        <v>0</v>
      </c>
      <c r="P26" s="789">
        <v>0</v>
      </c>
      <c r="Q26" s="789">
        <v>0</v>
      </c>
      <c r="R26" s="790">
        <v>3</v>
      </c>
      <c r="S26" s="788">
        <v>0</v>
      </c>
      <c r="T26" s="789">
        <v>5</v>
      </c>
      <c r="U26" s="789">
        <v>5</v>
      </c>
      <c r="V26" s="790">
        <v>0</v>
      </c>
      <c r="W26" s="768">
        <f t="shared" si="5"/>
        <v>17</v>
      </c>
      <c r="X26" s="791" t="str">
        <f>IF(ISBLANK(C26),"",IF(RANK(Y25,$Y$24:$Y$25)&lt;2,"edasi "&amp;RANK(W26,$AA$24:$AA$31),RANK(W26,$Z$24:$Z$31)+4))</f>
        <v>edasi 2</v>
      </c>
      <c r="Y26" s="833">
        <f>IF(COUNTA(C27:V27)=0,100,W27+IF(RANK(W27,$W$27:$W$28)=1,100,0))</f>
        <v>2</v>
      </c>
      <c r="Z26" s="832">
        <f>MIN(W27:W28)</f>
        <v>2</v>
      </c>
      <c r="AA26" s="832">
        <f>MAX(W27:W28)</f>
        <v>11</v>
      </c>
      <c r="AB26" s="813"/>
      <c r="AC26" s="813"/>
      <c r="AD26" s="813"/>
    </row>
    <row r="27" spans="1:32" x14ac:dyDescent="0.2">
      <c r="A27" s="792">
        <v>3</v>
      </c>
      <c r="B27" s="793" t="str">
        <f t="shared" si="4"/>
        <v>Oleg Rõndenkov</v>
      </c>
      <c r="C27" s="794">
        <v>0</v>
      </c>
      <c r="D27" s="795">
        <v>0</v>
      </c>
      <c r="E27" s="795">
        <v>0</v>
      </c>
      <c r="F27" s="796">
        <v>0</v>
      </c>
      <c r="G27" s="794">
        <v>0</v>
      </c>
      <c r="H27" s="795">
        <v>0</v>
      </c>
      <c r="I27" s="795">
        <v>0</v>
      </c>
      <c r="J27" s="796">
        <v>0</v>
      </c>
      <c r="K27" s="794">
        <v>0</v>
      </c>
      <c r="L27" s="795">
        <v>1</v>
      </c>
      <c r="M27" s="795">
        <v>0</v>
      </c>
      <c r="N27" s="796">
        <v>0</v>
      </c>
      <c r="O27" s="794">
        <v>1</v>
      </c>
      <c r="P27" s="795">
        <v>0</v>
      </c>
      <c r="Q27" s="795">
        <v>0</v>
      </c>
      <c r="R27" s="796">
        <v>0</v>
      </c>
      <c r="S27" s="794">
        <v>0</v>
      </c>
      <c r="T27" s="795">
        <v>0</v>
      </c>
      <c r="U27" s="795">
        <v>0</v>
      </c>
      <c r="V27" s="796">
        <v>0</v>
      </c>
      <c r="W27" s="774">
        <f t="shared" si="5"/>
        <v>2</v>
      </c>
      <c r="X27" s="797">
        <f>IF(ISBLANK(C27),"",IF(RANK(Y26,$Y$26:$Y$27)&lt;2,"edasi "&amp;RANK(W27,$AA$24:$AA$31),RANK(W27,$Z$24:$Z$31)+4))</f>
        <v>8</v>
      </c>
      <c r="Y27" s="834">
        <f>IF(COUNTA(C28:V28)=0,0,W28+IF(RANK(W28,$W$27:$W$28)=1,100,0))</f>
        <v>111</v>
      </c>
      <c r="Z27" s="832"/>
      <c r="AA27" s="832"/>
      <c r="AB27" s="813"/>
      <c r="AC27" s="813"/>
      <c r="AD27" s="813"/>
    </row>
    <row r="28" spans="1:32" x14ac:dyDescent="0.2">
      <c r="A28" s="792">
        <v>6</v>
      </c>
      <c r="B28" s="793" t="str">
        <f t="shared" si="4"/>
        <v>Jaan Sepp</v>
      </c>
      <c r="C28" s="794">
        <v>1</v>
      </c>
      <c r="D28" s="795">
        <v>0</v>
      </c>
      <c r="E28" s="795">
        <v>1</v>
      </c>
      <c r="F28" s="796">
        <v>0</v>
      </c>
      <c r="G28" s="794">
        <v>0</v>
      </c>
      <c r="H28" s="795">
        <v>0</v>
      </c>
      <c r="I28" s="795">
        <v>3</v>
      </c>
      <c r="J28" s="796">
        <v>0</v>
      </c>
      <c r="K28" s="794">
        <v>0</v>
      </c>
      <c r="L28" s="795">
        <v>1</v>
      </c>
      <c r="M28" s="795">
        <v>0</v>
      </c>
      <c r="N28" s="796">
        <v>0</v>
      </c>
      <c r="O28" s="794">
        <v>0</v>
      </c>
      <c r="P28" s="795">
        <v>0</v>
      </c>
      <c r="Q28" s="795">
        <v>5</v>
      </c>
      <c r="R28" s="796">
        <v>0</v>
      </c>
      <c r="S28" s="794">
        <v>0</v>
      </c>
      <c r="T28" s="795">
        <v>0</v>
      </c>
      <c r="U28" s="795">
        <v>0</v>
      </c>
      <c r="V28" s="796">
        <v>0</v>
      </c>
      <c r="W28" s="774">
        <f t="shared" si="5"/>
        <v>11</v>
      </c>
      <c r="X28" s="797" t="str">
        <f>IF(ISBLANK(C28),"",IF(RANK(Y27,$Y$26:$Y$27)&lt;2,"edasi "&amp;RANK(W28,$AA$24:$AA$31),RANK(W28,$Z$24:$Z$31)+4))</f>
        <v>edasi 4</v>
      </c>
      <c r="Y28" s="833">
        <f>IF(COUNTA(C29:V29)=0,100,W29+IF(RANK(W29,$W$29:$W$30)=1,100,0))</f>
        <v>114</v>
      </c>
      <c r="Z28" s="832">
        <f>MIN(W29:W30)</f>
        <v>8</v>
      </c>
      <c r="AA28" s="832">
        <f>MAX(W29:W30)</f>
        <v>14</v>
      </c>
      <c r="AB28" s="813"/>
      <c r="AC28" s="813"/>
      <c r="AD28" s="813"/>
    </row>
    <row r="29" spans="1:32" x14ac:dyDescent="0.2">
      <c r="A29" s="786">
        <v>2</v>
      </c>
      <c r="B29" s="787" t="str">
        <f t="shared" si="4"/>
        <v>Oskar Sepp</v>
      </c>
      <c r="C29" s="788">
        <v>0</v>
      </c>
      <c r="D29" s="789">
        <v>0</v>
      </c>
      <c r="E29" s="789">
        <v>0</v>
      </c>
      <c r="F29" s="790">
        <v>3</v>
      </c>
      <c r="G29" s="788">
        <v>0</v>
      </c>
      <c r="H29" s="789">
        <v>0</v>
      </c>
      <c r="I29" s="789">
        <v>0</v>
      </c>
      <c r="J29" s="790">
        <v>0</v>
      </c>
      <c r="K29" s="788">
        <v>0</v>
      </c>
      <c r="L29" s="789">
        <v>5</v>
      </c>
      <c r="M29" s="789">
        <v>0</v>
      </c>
      <c r="N29" s="790">
        <v>3</v>
      </c>
      <c r="O29" s="788">
        <v>0</v>
      </c>
      <c r="P29" s="789">
        <v>0</v>
      </c>
      <c r="Q29" s="789">
        <v>0</v>
      </c>
      <c r="R29" s="790">
        <v>0</v>
      </c>
      <c r="S29" s="788">
        <v>0</v>
      </c>
      <c r="T29" s="789">
        <v>3</v>
      </c>
      <c r="U29" s="789">
        <v>0</v>
      </c>
      <c r="V29" s="790">
        <v>0</v>
      </c>
      <c r="W29" s="768">
        <f t="shared" si="5"/>
        <v>14</v>
      </c>
      <c r="X29" s="791" t="str">
        <f>IF(ISBLANK(C29),"",IF(RANK(Y28,$Y$28:$Y$29)&lt;2,"edasi "&amp;RANK(W29,$AA$24:$AA$31),RANK(W29,$Z$24:$Z$31)+4))</f>
        <v>edasi 3</v>
      </c>
      <c r="Y29" s="834">
        <f>IF(COUNTA(C30:V30)=0,0,W30+IF(RANK(W30,$W$29:$W$30)=1,100,0))</f>
        <v>8</v>
      </c>
      <c r="Z29" s="832"/>
      <c r="AA29" s="832"/>
      <c r="AB29" s="813"/>
      <c r="AC29" s="813"/>
      <c r="AD29" s="813"/>
    </row>
    <row r="30" spans="1:32" x14ac:dyDescent="0.2">
      <c r="A30" s="786">
        <v>7</v>
      </c>
      <c r="B30" s="787" t="str">
        <f t="shared" si="4"/>
        <v>Kenneth Muusikus</v>
      </c>
      <c r="C30" s="788">
        <v>3</v>
      </c>
      <c r="D30" s="789">
        <v>0</v>
      </c>
      <c r="E30" s="789">
        <v>0</v>
      </c>
      <c r="F30" s="790">
        <v>0</v>
      </c>
      <c r="G30" s="788">
        <v>0</v>
      </c>
      <c r="H30" s="789">
        <v>3</v>
      </c>
      <c r="I30" s="789">
        <v>0</v>
      </c>
      <c r="J30" s="790">
        <v>0</v>
      </c>
      <c r="K30" s="788">
        <v>0</v>
      </c>
      <c r="L30" s="789">
        <v>1</v>
      </c>
      <c r="M30" s="789">
        <v>0</v>
      </c>
      <c r="N30" s="790">
        <v>1</v>
      </c>
      <c r="O30" s="788">
        <v>0</v>
      </c>
      <c r="P30" s="789">
        <v>0</v>
      </c>
      <c r="Q30" s="789">
        <v>0</v>
      </c>
      <c r="R30" s="790">
        <v>0</v>
      </c>
      <c r="S30" s="788">
        <v>0</v>
      </c>
      <c r="T30" s="789">
        <v>0</v>
      </c>
      <c r="U30" s="789">
        <v>0</v>
      </c>
      <c r="V30" s="790">
        <v>0</v>
      </c>
      <c r="W30" s="768">
        <f t="shared" si="5"/>
        <v>8</v>
      </c>
      <c r="X30" s="791">
        <f>IF(ISBLANK(C30),"",IF(RANK(Y29,$Y$28:$Y$29)&lt;2,"edasi "&amp;RANK(W30,$AA$24:$AA$31),RANK(W30,$Z$24:$Z$31)+4))</f>
        <v>5</v>
      </c>
      <c r="Y30" s="833">
        <f>IF(COUNTA(C31:V31)=0,100,W31+IF(RANK(W31,$W$31:$W$32)=1,100,0))</f>
        <v>135</v>
      </c>
      <c r="Z30" s="832">
        <f>MIN(W31:W32)</f>
        <v>6</v>
      </c>
      <c r="AA30" s="832">
        <f>MAX(W31:W32)</f>
        <v>35</v>
      </c>
      <c r="AB30" s="813"/>
      <c r="AC30" s="813"/>
      <c r="AD30" s="813"/>
    </row>
    <row r="31" spans="1:32" x14ac:dyDescent="0.2">
      <c r="A31" s="792">
        <v>1</v>
      </c>
      <c r="B31" s="793" t="str">
        <f t="shared" si="4"/>
        <v>Ivar Viljaste</v>
      </c>
      <c r="C31" s="794">
        <v>5</v>
      </c>
      <c r="D31" s="795">
        <v>3</v>
      </c>
      <c r="E31" s="795">
        <v>0</v>
      </c>
      <c r="F31" s="796">
        <v>0</v>
      </c>
      <c r="G31" s="794">
        <v>5</v>
      </c>
      <c r="H31" s="795">
        <v>3</v>
      </c>
      <c r="I31" s="795">
        <v>0</v>
      </c>
      <c r="J31" s="796">
        <v>0</v>
      </c>
      <c r="K31" s="794">
        <v>0</v>
      </c>
      <c r="L31" s="795">
        <v>0</v>
      </c>
      <c r="M31" s="795">
        <v>5</v>
      </c>
      <c r="N31" s="796">
        <v>3</v>
      </c>
      <c r="O31" s="794">
        <v>0</v>
      </c>
      <c r="P31" s="795">
        <v>1</v>
      </c>
      <c r="Q31" s="795">
        <v>5</v>
      </c>
      <c r="R31" s="796">
        <v>0</v>
      </c>
      <c r="S31" s="794">
        <v>0</v>
      </c>
      <c r="T31" s="795">
        <v>0</v>
      </c>
      <c r="U31" s="795">
        <v>5</v>
      </c>
      <c r="V31" s="796">
        <v>0</v>
      </c>
      <c r="W31" s="774">
        <f t="shared" si="5"/>
        <v>35</v>
      </c>
      <c r="X31" s="797" t="str">
        <f>IF(ISBLANK(C31),"",IF(RANK(Y30,$Y$30:$Y$31)&lt;2,"edasi "&amp;RANK(W31,$AA$24:$AA$31),RANK(W31,$Z$24:$Z$31)+4))</f>
        <v>edasi 1</v>
      </c>
      <c r="Y31" s="834">
        <f>IF(COUNTA(C32:V32)=0,0,W32+IF(RANK(W32,$W$31:$W$32)=1,100,0))</f>
        <v>6</v>
      </c>
      <c r="Z31" s="832"/>
      <c r="AA31" s="832"/>
      <c r="AB31" s="813"/>
      <c r="AC31" s="813"/>
      <c r="AD31" s="813"/>
    </row>
    <row r="32" spans="1:32" ht="13.5" thickBot="1" x14ac:dyDescent="0.25">
      <c r="A32" s="798">
        <v>8</v>
      </c>
      <c r="B32" s="793" t="str">
        <f t="shared" si="4"/>
        <v>Svetlana Veski</v>
      </c>
      <c r="C32" s="799">
        <v>3</v>
      </c>
      <c r="D32" s="800">
        <v>0</v>
      </c>
      <c r="E32" s="800">
        <v>3</v>
      </c>
      <c r="F32" s="801">
        <v>0</v>
      </c>
      <c r="G32" s="799">
        <v>0</v>
      </c>
      <c r="H32" s="800">
        <v>0</v>
      </c>
      <c r="I32" s="800">
        <v>0</v>
      </c>
      <c r="J32" s="801">
        <v>0</v>
      </c>
      <c r="K32" s="799">
        <v>0</v>
      </c>
      <c r="L32" s="800">
        <v>0</v>
      </c>
      <c r="M32" s="800">
        <v>0</v>
      </c>
      <c r="N32" s="801">
        <v>0</v>
      </c>
      <c r="O32" s="799">
        <v>0</v>
      </c>
      <c r="P32" s="800">
        <v>0</v>
      </c>
      <c r="Q32" s="800">
        <v>0</v>
      </c>
      <c r="R32" s="801">
        <v>0</v>
      </c>
      <c r="S32" s="799">
        <v>0</v>
      </c>
      <c r="T32" s="800">
        <v>0</v>
      </c>
      <c r="U32" s="800">
        <v>0</v>
      </c>
      <c r="V32" s="801">
        <v>0</v>
      </c>
      <c r="W32" s="784">
        <f t="shared" si="5"/>
        <v>6</v>
      </c>
      <c r="X32" s="802">
        <f>IF(ISBLANK(C32),"",IF(RANK(Y31,$Y$30:$Y$31)&lt;2,"edasi "&amp;RANK(W32,$AA$24:$AA$31),RANK(W32,$Z$24:$Z$31)+4))</f>
        <v>7</v>
      </c>
    </row>
    <row r="33" spans="1:24" x14ac:dyDescent="0.2">
      <c r="A33" s="785"/>
      <c r="B33" s="758" t="s">
        <v>476</v>
      </c>
      <c r="C33" s="759"/>
      <c r="D33" s="760"/>
      <c r="E33" s="760"/>
      <c r="F33" s="761"/>
      <c r="G33" s="759"/>
      <c r="H33" s="760"/>
      <c r="I33" s="760"/>
      <c r="J33" s="761"/>
      <c r="K33" s="759"/>
      <c r="L33" s="760"/>
      <c r="M33" s="760"/>
      <c r="N33" s="761"/>
      <c r="O33" s="759"/>
      <c r="P33" s="760"/>
      <c r="Q33" s="760"/>
      <c r="R33" s="761"/>
      <c r="S33" s="759"/>
      <c r="T33" s="760"/>
      <c r="U33" s="760"/>
      <c r="V33" s="761"/>
      <c r="W33" s="762"/>
      <c r="X33" s="762"/>
    </row>
    <row r="34" spans="1:24" x14ac:dyDescent="0.2">
      <c r="A34" s="786">
        <v>2</v>
      </c>
      <c r="B34" s="787" t="str">
        <f>IFERROR(INDEX(B$25:B$32,MATCH("edasi "&amp;A34,X$25:X$32,0)),"")</f>
        <v>Boriss Klubov</v>
      </c>
      <c r="C34" s="788">
        <v>1</v>
      </c>
      <c r="D34" s="789">
        <v>0</v>
      </c>
      <c r="E34" s="789">
        <v>0</v>
      </c>
      <c r="F34" s="790">
        <v>0</v>
      </c>
      <c r="G34" s="788">
        <v>0</v>
      </c>
      <c r="H34" s="789">
        <v>0</v>
      </c>
      <c r="I34" s="789">
        <v>0</v>
      </c>
      <c r="J34" s="790">
        <v>3</v>
      </c>
      <c r="K34" s="788">
        <v>1</v>
      </c>
      <c r="L34" s="789">
        <v>0</v>
      </c>
      <c r="M34" s="789">
        <v>0</v>
      </c>
      <c r="N34" s="790">
        <v>0</v>
      </c>
      <c r="O34" s="788">
        <v>3</v>
      </c>
      <c r="P34" s="789">
        <v>0</v>
      </c>
      <c r="Q34" s="789">
        <v>0</v>
      </c>
      <c r="R34" s="790">
        <v>0</v>
      </c>
      <c r="S34" s="788">
        <v>0</v>
      </c>
      <c r="T34" s="789">
        <v>0</v>
      </c>
      <c r="U34" s="789">
        <v>5</v>
      </c>
      <c r="V34" s="790">
        <v>0</v>
      </c>
      <c r="W34" s="768">
        <f>SUM(C34:V34)</f>
        <v>13</v>
      </c>
      <c r="X34" s="791" t="str">
        <f>IF(COUNTA(C34:V34)=0,"",IF(W34=W35,"ümbervisk",IF(W34&gt;W35,"finaali "&amp;(IF(W34&lt;MAX(W36:W37),2,IF(W34=MAX(W36:W37),"",1))),"pronksi "&amp;(IF(W34&lt;MIN(W36:W37),2,IF(W34=MIN(W36:W37),"",1))))))</f>
        <v>pronksi 1</v>
      </c>
    </row>
    <row r="35" spans="1:24" x14ac:dyDescent="0.2">
      <c r="A35" s="786">
        <v>3</v>
      </c>
      <c r="B35" s="787" t="str">
        <f>IFERROR(INDEX(B$25:B$32,MATCH("edasi "&amp;A35,X$25:X$32,0)),"")</f>
        <v>Oskar Sepp</v>
      </c>
      <c r="C35" s="788">
        <v>1</v>
      </c>
      <c r="D35" s="789">
        <v>3</v>
      </c>
      <c r="E35" s="789">
        <v>1</v>
      </c>
      <c r="F35" s="790">
        <v>0</v>
      </c>
      <c r="G35" s="788">
        <v>3</v>
      </c>
      <c r="H35" s="789">
        <v>0</v>
      </c>
      <c r="I35" s="789">
        <v>0</v>
      </c>
      <c r="J35" s="790">
        <v>0</v>
      </c>
      <c r="K35" s="788">
        <v>1</v>
      </c>
      <c r="L35" s="789">
        <v>1</v>
      </c>
      <c r="M35" s="789">
        <v>0</v>
      </c>
      <c r="N35" s="790">
        <v>5</v>
      </c>
      <c r="O35" s="788">
        <v>0</v>
      </c>
      <c r="P35" s="789">
        <v>0</v>
      </c>
      <c r="Q35" s="789">
        <v>0</v>
      </c>
      <c r="R35" s="790">
        <v>0</v>
      </c>
      <c r="S35" s="788">
        <v>0</v>
      </c>
      <c r="T35" s="789">
        <v>0</v>
      </c>
      <c r="U35" s="789">
        <v>0</v>
      </c>
      <c r="V35" s="790">
        <v>0</v>
      </c>
      <c r="W35" s="768">
        <f>SUM(C35:V35)</f>
        <v>15</v>
      </c>
      <c r="X35" s="791" t="str">
        <f>IF(COUNTA(C35:V35)=0,"",IF(W34=W35,"ümbervisk",IF(W35&gt;W34,"finaali "&amp;(IF(W35&lt;MAX(W36:W37),2,IF(W35=MAX(W36:W37),"",1))),"pronksi "&amp;(IF(W35&lt;MIN(W36:W37),2,IF(W35=MIN(W36:W37),"",1))))))</f>
        <v>finaali 2</v>
      </c>
    </row>
    <row r="36" spans="1:24" x14ac:dyDescent="0.2">
      <c r="A36" s="792">
        <v>1</v>
      </c>
      <c r="B36" s="793" t="str">
        <f>IFERROR(INDEX(B$25:B$32,MATCH("edasi "&amp;A36,X$25:X$32,0)),"")</f>
        <v>Ivar Viljaste</v>
      </c>
      <c r="C36" s="794">
        <v>0</v>
      </c>
      <c r="D36" s="795">
        <v>1</v>
      </c>
      <c r="E36" s="795">
        <v>0</v>
      </c>
      <c r="F36" s="796">
        <v>5</v>
      </c>
      <c r="G36" s="794">
        <v>3</v>
      </c>
      <c r="H36" s="795">
        <v>0</v>
      </c>
      <c r="I36" s="795">
        <v>0</v>
      </c>
      <c r="J36" s="796">
        <v>0</v>
      </c>
      <c r="K36" s="794">
        <v>1</v>
      </c>
      <c r="L36" s="795">
        <v>0</v>
      </c>
      <c r="M36" s="795">
        <v>0</v>
      </c>
      <c r="N36" s="796">
        <v>0</v>
      </c>
      <c r="O36" s="794">
        <v>0</v>
      </c>
      <c r="P36" s="795">
        <v>0</v>
      </c>
      <c r="Q36" s="795">
        <v>0</v>
      </c>
      <c r="R36" s="796">
        <v>0</v>
      </c>
      <c r="S36" s="794">
        <v>5</v>
      </c>
      <c r="T36" s="795">
        <v>5</v>
      </c>
      <c r="U36" s="795">
        <v>5</v>
      </c>
      <c r="V36" s="796">
        <v>5</v>
      </c>
      <c r="W36" s="774">
        <f>SUM(C36:V36)</f>
        <v>30</v>
      </c>
      <c r="X36" s="797" t="str">
        <f>IF(COUNTA(C36:V36)=0,"",IF(W36=W37,"ümbervisk",IF(W36&gt;W37,"finaali "&amp;(IF(W36&lt;MAX(W34:W35),2,IF(W36=MAX(W34:W35),"",1))),"pronksi "&amp;(IF(W36&lt;MIN(W34:W35),2,IF(W36=MIN(W34:W35),"",1))))))</f>
        <v>finaali 1</v>
      </c>
    </row>
    <row r="37" spans="1:24" ht="13.5" thickBot="1" x14ac:dyDescent="0.25">
      <c r="A37" s="798">
        <v>4</v>
      </c>
      <c r="B37" s="793" t="str">
        <f>IFERROR(INDEX(B$25:B$32,MATCH("edasi "&amp;A37,X$25:X$32,0)),"")</f>
        <v>Jaan Sepp</v>
      </c>
      <c r="C37" s="799">
        <v>0</v>
      </c>
      <c r="D37" s="800">
        <v>0</v>
      </c>
      <c r="E37" s="800">
        <v>0</v>
      </c>
      <c r="F37" s="801">
        <v>3</v>
      </c>
      <c r="G37" s="799">
        <v>0</v>
      </c>
      <c r="H37" s="800">
        <v>3</v>
      </c>
      <c r="I37" s="800">
        <v>0</v>
      </c>
      <c r="J37" s="801">
        <v>3</v>
      </c>
      <c r="K37" s="799">
        <v>0</v>
      </c>
      <c r="L37" s="800">
        <v>0</v>
      </c>
      <c r="M37" s="800">
        <v>0</v>
      </c>
      <c r="N37" s="801">
        <v>0</v>
      </c>
      <c r="O37" s="799">
        <v>0</v>
      </c>
      <c r="P37" s="800">
        <v>0</v>
      </c>
      <c r="Q37" s="800">
        <v>0</v>
      </c>
      <c r="R37" s="801">
        <v>0</v>
      </c>
      <c r="S37" s="799">
        <v>0</v>
      </c>
      <c r="T37" s="800">
        <v>0</v>
      </c>
      <c r="U37" s="800">
        <v>0</v>
      </c>
      <c r="V37" s="801">
        <v>0</v>
      </c>
      <c r="W37" s="784">
        <f>SUM(C37:V37)</f>
        <v>9</v>
      </c>
      <c r="X37" s="802" t="str">
        <f>IF(COUNTA(C37:V37)=0,"",IF(W36=W37,"ümbervisk",IF(W37&gt;W36,"finaali "&amp;(IF(W37&lt;MAX(W34:W35),2,IF(W37=MAX(W34:W35),"",1))),"pronksi "&amp;(IF(W37&lt;MIN(W34:W35),2,IF(W37=MIN(W34:W35),"",1))))))</f>
        <v>pronksi 2</v>
      </c>
    </row>
    <row r="38" spans="1:24" x14ac:dyDescent="0.2">
      <c r="A38" s="785"/>
      <c r="B38" s="803" t="s">
        <v>477</v>
      </c>
      <c r="C38" s="759"/>
      <c r="D38" s="760"/>
      <c r="E38" s="760"/>
      <c r="F38" s="761"/>
      <c r="G38" s="759"/>
      <c r="H38" s="760"/>
      <c r="I38" s="760"/>
      <c r="J38" s="761"/>
      <c r="K38" s="759"/>
      <c r="L38" s="760"/>
      <c r="M38" s="760"/>
      <c r="N38" s="761"/>
      <c r="O38" s="759"/>
      <c r="P38" s="760"/>
      <c r="Q38" s="760"/>
      <c r="R38" s="761"/>
      <c r="S38" s="759"/>
      <c r="T38" s="760"/>
      <c r="U38" s="760"/>
      <c r="V38" s="761"/>
      <c r="W38" s="804"/>
      <c r="X38" s="762"/>
    </row>
    <row r="39" spans="1:24" x14ac:dyDescent="0.2">
      <c r="A39" s="792">
        <v>1</v>
      </c>
      <c r="B39" s="793" t="str">
        <f>IFERROR(INDEX(B$34:B$37,MATCH("pronksi "&amp;A39,X$34:X$37,0)),"")</f>
        <v>Boriss Klubov</v>
      </c>
      <c r="C39" s="794">
        <v>0</v>
      </c>
      <c r="D39" s="795">
        <v>3</v>
      </c>
      <c r="E39" s="795">
        <v>1</v>
      </c>
      <c r="F39" s="796">
        <v>3</v>
      </c>
      <c r="G39" s="794">
        <v>1</v>
      </c>
      <c r="H39" s="795">
        <v>3</v>
      </c>
      <c r="I39" s="795">
        <v>0</v>
      </c>
      <c r="J39" s="796">
        <v>0</v>
      </c>
      <c r="K39" s="794">
        <v>5</v>
      </c>
      <c r="L39" s="795">
        <v>3</v>
      </c>
      <c r="M39" s="795">
        <v>1</v>
      </c>
      <c r="N39" s="796">
        <v>1</v>
      </c>
      <c r="O39" s="794">
        <v>3</v>
      </c>
      <c r="P39" s="795">
        <v>0</v>
      </c>
      <c r="Q39" s="795">
        <v>0</v>
      </c>
      <c r="R39" s="796">
        <v>0</v>
      </c>
      <c r="S39" s="794">
        <v>5</v>
      </c>
      <c r="T39" s="795">
        <v>0</v>
      </c>
      <c r="U39" s="795">
        <v>0</v>
      </c>
      <c r="V39" s="796">
        <v>0</v>
      </c>
      <c r="W39" s="774">
        <f>SUM(C39:V39)</f>
        <v>29</v>
      </c>
      <c r="X39" s="805">
        <f ca="1">IF( INDIRECT("RC[-1]",0)=MAX(( INDIRECT("R[-1]C[-1]",0)):( INDIRECT("R[1]C[-1]",0))),3,4)</f>
        <v>3</v>
      </c>
    </row>
    <row r="40" spans="1:24" ht="13.5" thickBot="1" x14ac:dyDescent="0.25">
      <c r="A40" s="798">
        <v>2</v>
      </c>
      <c r="B40" s="806" t="str">
        <f>IFERROR(INDEX(B$34:B$37,MATCH("pronksi "&amp;A40,X$34:X$37,0)),"")</f>
        <v>Jaan Sepp</v>
      </c>
      <c r="C40" s="807">
        <v>0</v>
      </c>
      <c r="D40" s="808">
        <v>0</v>
      </c>
      <c r="E40" s="808">
        <v>0</v>
      </c>
      <c r="F40" s="809">
        <v>0</v>
      </c>
      <c r="G40" s="807">
        <v>3</v>
      </c>
      <c r="H40" s="808">
        <v>0</v>
      </c>
      <c r="I40" s="808">
        <v>3</v>
      </c>
      <c r="J40" s="810">
        <v>0</v>
      </c>
      <c r="K40" s="807">
        <v>1</v>
      </c>
      <c r="L40" s="808">
        <v>3</v>
      </c>
      <c r="M40" s="808">
        <v>5</v>
      </c>
      <c r="N40" s="809">
        <v>0</v>
      </c>
      <c r="O40" s="807">
        <v>0</v>
      </c>
      <c r="P40" s="808">
        <v>3</v>
      </c>
      <c r="Q40" s="808">
        <v>0</v>
      </c>
      <c r="R40" s="809">
        <v>0</v>
      </c>
      <c r="S40" s="807">
        <v>0</v>
      </c>
      <c r="T40" s="808">
        <v>0</v>
      </c>
      <c r="U40" s="808">
        <v>0</v>
      </c>
      <c r="V40" s="809">
        <v>0</v>
      </c>
      <c r="W40" s="784">
        <f>SUM(C40:V40)</f>
        <v>18</v>
      </c>
      <c r="X40" s="805">
        <f ca="1">IF( INDIRECT("RC[-1]",0)=MAX(( INDIRECT("R[-1]C[-1]",0)):( INDIRECT("R[1]C[-1]",0))),3,4)</f>
        <v>4</v>
      </c>
    </row>
    <row r="41" spans="1:24" x14ac:dyDescent="0.2">
      <c r="A41" s="785"/>
      <c r="B41" s="803" t="s">
        <v>478</v>
      </c>
      <c r="C41" s="759"/>
      <c r="D41" s="760"/>
      <c r="E41" s="760"/>
      <c r="F41" s="761"/>
      <c r="G41" s="759"/>
      <c r="H41" s="760"/>
      <c r="I41" s="760"/>
      <c r="J41" s="761"/>
      <c r="K41" s="759"/>
      <c r="L41" s="760"/>
      <c r="M41" s="760"/>
      <c r="N41" s="761"/>
      <c r="O41" s="759"/>
      <c r="P41" s="760"/>
      <c r="Q41" s="760"/>
      <c r="R41" s="761"/>
      <c r="S41" s="759"/>
      <c r="T41" s="760"/>
      <c r="U41" s="760"/>
      <c r="V41" s="761"/>
      <c r="W41" s="804"/>
      <c r="X41" s="762"/>
    </row>
    <row r="42" spans="1:24" x14ac:dyDescent="0.2">
      <c r="A42" s="792">
        <v>1</v>
      </c>
      <c r="B42" s="793" t="str">
        <f>IFERROR(INDEX(B$34:B$37,MATCH("finaali "&amp;A42,X$34:X$37,0)),"")</f>
        <v>Ivar Viljaste</v>
      </c>
      <c r="C42" s="794">
        <v>3</v>
      </c>
      <c r="D42" s="795">
        <v>3</v>
      </c>
      <c r="E42" s="795">
        <v>1</v>
      </c>
      <c r="F42" s="796">
        <v>0</v>
      </c>
      <c r="G42" s="794">
        <v>0</v>
      </c>
      <c r="H42" s="795">
        <v>0</v>
      </c>
      <c r="I42" s="795">
        <v>0</v>
      </c>
      <c r="J42" s="796">
        <v>0</v>
      </c>
      <c r="K42" s="794">
        <v>1</v>
      </c>
      <c r="L42" s="795">
        <v>0</v>
      </c>
      <c r="M42" s="795">
        <v>1</v>
      </c>
      <c r="N42" s="796">
        <v>0</v>
      </c>
      <c r="O42" s="794">
        <v>0</v>
      </c>
      <c r="P42" s="795">
        <v>0</v>
      </c>
      <c r="Q42" s="795">
        <v>0</v>
      </c>
      <c r="R42" s="796">
        <v>0</v>
      </c>
      <c r="S42" s="794">
        <v>0</v>
      </c>
      <c r="T42" s="795">
        <v>5</v>
      </c>
      <c r="U42" s="795">
        <v>0</v>
      </c>
      <c r="V42" s="796">
        <v>0</v>
      </c>
      <c r="W42" s="774">
        <f>SUM(C42:V42)</f>
        <v>14</v>
      </c>
      <c r="X42" s="805">
        <f ca="1">IF( INDIRECT("RC[-1]",0)=MAX(( INDIRECT("R[-1]C[-1]",0)):( INDIRECT("R[1]C[-1]",0))),1,2)</f>
        <v>2</v>
      </c>
    </row>
    <row r="43" spans="1:24" ht="13.5" thickBot="1" x14ac:dyDescent="0.25">
      <c r="A43" s="798">
        <v>2</v>
      </c>
      <c r="B43" s="812" t="str">
        <f>IFERROR(INDEX(B$34:B$37,MATCH("finaali "&amp;A43,X$34:X$37,0)),"")</f>
        <v>Oskar Sepp</v>
      </c>
      <c r="C43" s="799">
        <v>3</v>
      </c>
      <c r="D43" s="800">
        <v>3</v>
      </c>
      <c r="E43" s="800">
        <v>3</v>
      </c>
      <c r="F43" s="801">
        <v>0</v>
      </c>
      <c r="G43" s="799">
        <v>0</v>
      </c>
      <c r="H43" s="800">
        <v>0</v>
      </c>
      <c r="I43" s="800">
        <v>0</v>
      </c>
      <c r="J43" s="801">
        <v>0</v>
      </c>
      <c r="K43" s="799">
        <v>5</v>
      </c>
      <c r="L43" s="800">
        <v>3</v>
      </c>
      <c r="M43" s="800">
        <v>1</v>
      </c>
      <c r="N43" s="801">
        <v>1</v>
      </c>
      <c r="O43" s="799">
        <v>3</v>
      </c>
      <c r="P43" s="800">
        <v>0</v>
      </c>
      <c r="Q43" s="800">
        <v>0</v>
      </c>
      <c r="R43" s="801">
        <v>0</v>
      </c>
      <c r="S43" s="799">
        <v>5</v>
      </c>
      <c r="T43" s="800">
        <v>0</v>
      </c>
      <c r="U43" s="800">
        <v>0</v>
      </c>
      <c r="V43" s="801">
        <v>0</v>
      </c>
      <c r="W43" s="784">
        <f>SUM(C43:V43)</f>
        <v>27</v>
      </c>
      <c r="X43" s="811">
        <f ca="1">IF( INDIRECT("RC[-1]",0)=MAX(( INDIRECT("R[-1]C[-1]",0)):( INDIRECT("R[1]C[-1]",0))),1,2)</f>
        <v>1</v>
      </c>
    </row>
    <row r="44" spans="1:24" hidden="1" x14ac:dyDescent="0.2">
      <c r="A44" s="813"/>
      <c r="B44" s="813"/>
      <c r="C44" s="813"/>
      <c r="D44" s="813"/>
      <c r="E44" s="813"/>
      <c r="F44" s="813"/>
      <c r="G44" s="813"/>
      <c r="H44" s="813"/>
      <c r="I44" s="813"/>
      <c r="J44" s="813"/>
      <c r="K44" s="813"/>
      <c r="L44" s="813"/>
      <c r="M44" s="813"/>
      <c r="N44" s="813"/>
      <c r="O44" s="813"/>
      <c r="P44" s="813"/>
      <c r="Q44" s="813"/>
      <c r="R44" s="813"/>
      <c r="S44" s="813"/>
      <c r="T44" s="813"/>
      <c r="U44" s="813"/>
      <c r="V44" s="813"/>
      <c r="W44" s="813"/>
      <c r="X44" s="813"/>
    </row>
    <row r="45" spans="1:24" hidden="1" x14ac:dyDescent="0.2">
      <c r="A45" s="813"/>
      <c r="B45" s="813"/>
      <c r="C45" s="813"/>
      <c r="D45" s="813"/>
      <c r="E45" s="813"/>
      <c r="F45" s="813"/>
      <c r="G45" s="813"/>
      <c r="H45" s="813"/>
      <c r="I45" s="813"/>
      <c r="J45" s="813"/>
      <c r="K45" s="813"/>
      <c r="L45" s="813"/>
      <c r="M45" s="813"/>
      <c r="N45" s="813"/>
      <c r="O45" s="813"/>
      <c r="P45" s="813"/>
      <c r="Q45" s="813"/>
      <c r="R45" s="813"/>
      <c r="S45" s="813"/>
      <c r="T45" s="813"/>
      <c r="U45" s="813"/>
      <c r="V45" s="813"/>
      <c r="W45" s="813"/>
      <c r="X45" s="813"/>
    </row>
    <row r="46" spans="1:24" hidden="1" x14ac:dyDescent="0.2">
      <c r="A46" s="813"/>
      <c r="B46" s="813"/>
      <c r="C46" s="813"/>
      <c r="D46" s="813"/>
      <c r="E46" s="813"/>
      <c r="F46" s="813"/>
      <c r="G46" s="813"/>
      <c r="H46" s="813"/>
      <c r="I46" s="813"/>
      <c r="J46" s="813"/>
      <c r="K46" s="813"/>
      <c r="L46" s="813"/>
      <c r="M46" s="813"/>
      <c r="N46" s="813"/>
      <c r="O46" s="813"/>
      <c r="P46" s="813"/>
      <c r="Q46" s="813"/>
      <c r="R46" s="813"/>
      <c r="S46" s="813"/>
      <c r="T46" s="813"/>
      <c r="U46" s="813"/>
      <c r="V46" s="813"/>
      <c r="W46" s="813"/>
      <c r="X46" s="813"/>
    </row>
    <row r="47" spans="1:24" hidden="1" x14ac:dyDescent="0.2">
      <c r="A47" s="813"/>
      <c r="B47" s="813"/>
      <c r="C47" s="813"/>
      <c r="D47" s="813"/>
      <c r="E47" s="813"/>
      <c r="F47" s="813"/>
      <c r="G47" s="813"/>
      <c r="H47" s="813"/>
      <c r="I47" s="813"/>
      <c r="J47" s="813"/>
      <c r="K47" s="813"/>
      <c r="L47" s="813"/>
      <c r="M47" s="813"/>
      <c r="N47" s="813"/>
      <c r="O47" s="813"/>
      <c r="P47" s="813"/>
      <c r="Q47" s="813"/>
      <c r="R47" s="813"/>
      <c r="S47" s="813"/>
      <c r="T47" s="813"/>
      <c r="U47" s="813"/>
      <c r="V47" s="813"/>
      <c r="W47" s="813"/>
      <c r="X47" s="813"/>
    </row>
    <row r="48" spans="1:24" hidden="1" x14ac:dyDescent="0.2">
      <c r="A48" s="813"/>
      <c r="B48" s="813"/>
      <c r="C48" s="813"/>
      <c r="D48" s="813"/>
      <c r="E48" s="813"/>
      <c r="F48" s="813"/>
      <c r="G48" s="813"/>
      <c r="H48" s="813"/>
      <c r="I48" s="813"/>
      <c r="J48" s="813"/>
      <c r="K48" s="813"/>
      <c r="L48" s="813"/>
      <c r="M48" s="813"/>
      <c r="N48" s="813"/>
      <c r="O48" s="813"/>
      <c r="P48" s="813"/>
      <c r="Q48" s="813"/>
      <c r="R48" s="813"/>
      <c r="S48" s="813"/>
      <c r="T48" s="813"/>
      <c r="U48" s="813"/>
      <c r="V48" s="813"/>
      <c r="W48" s="813"/>
      <c r="X48" s="813"/>
    </row>
    <row r="49" spans="1:24" hidden="1" x14ac:dyDescent="0.2">
      <c r="A49" s="813"/>
      <c r="B49" s="813"/>
      <c r="C49" s="813"/>
      <c r="D49" s="813"/>
      <c r="E49" s="813"/>
      <c r="F49" s="813"/>
      <c r="G49" s="813"/>
      <c r="H49" s="813"/>
      <c r="I49" s="813"/>
      <c r="J49" s="813"/>
      <c r="K49" s="813"/>
      <c r="L49" s="813"/>
      <c r="M49" s="813"/>
      <c r="N49" s="813"/>
      <c r="O49" s="813"/>
      <c r="P49" s="813"/>
      <c r="Q49" s="813"/>
      <c r="R49" s="813"/>
      <c r="S49" s="813"/>
      <c r="T49" s="813"/>
      <c r="U49" s="813"/>
      <c r="V49" s="813"/>
      <c r="W49" s="813"/>
      <c r="X49" s="813"/>
    </row>
    <row r="50" spans="1:24" hidden="1" x14ac:dyDescent="0.2">
      <c r="A50" s="813"/>
      <c r="B50" s="813"/>
      <c r="C50" s="813"/>
      <c r="D50" s="813"/>
      <c r="E50" s="813"/>
      <c r="F50" s="813"/>
      <c r="G50" s="813"/>
      <c r="H50" s="813"/>
      <c r="I50" s="813"/>
      <c r="J50" s="813"/>
      <c r="K50" s="813"/>
      <c r="L50" s="813"/>
      <c r="M50" s="813"/>
      <c r="N50" s="813"/>
      <c r="O50" s="813"/>
      <c r="P50" s="813"/>
      <c r="Q50" s="813"/>
      <c r="R50" s="813"/>
      <c r="S50" s="813"/>
      <c r="T50" s="813"/>
      <c r="U50" s="813"/>
      <c r="V50" s="813"/>
      <c r="W50" s="813"/>
      <c r="X50" s="813"/>
    </row>
    <row r="51" spans="1:24" hidden="1" x14ac:dyDescent="0.2">
      <c r="A51" s="813"/>
      <c r="B51" s="813"/>
      <c r="C51" s="813"/>
      <c r="D51" s="813"/>
      <c r="E51" s="813"/>
      <c r="F51" s="813"/>
      <c r="G51" s="813"/>
      <c r="H51" s="813"/>
      <c r="I51" s="813"/>
      <c r="J51" s="813"/>
      <c r="K51" s="813"/>
      <c r="L51" s="813"/>
      <c r="M51" s="813"/>
      <c r="N51" s="813"/>
      <c r="O51" s="813"/>
      <c r="P51" s="813"/>
      <c r="Q51" s="813"/>
      <c r="R51" s="813"/>
      <c r="S51" s="813"/>
      <c r="T51" s="813"/>
      <c r="U51" s="813"/>
      <c r="V51" s="813"/>
      <c r="W51" s="813"/>
      <c r="X51" s="813"/>
    </row>
    <row r="52" spans="1:24" hidden="1" x14ac:dyDescent="0.2">
      <c r="A52" s="813"/>
      <c r="B52" s="813"/>
      <c r="C52" s="813"/>
      <c r="D52" s="813"/>
      <c r="E52" s="813"/>
      <c r="F52" s="813"/>
      <c r="G52" s="813"/>
      <c r="H52" s="813"/>
      <c r="I52" s="813"/>
      <c r="J52" s="813"/>
      <c r="K52" s="813"/>
      <c r="L52" s="813"/>
      <c r="M52" s="813"/>
      <c r="N52" s="813"/>
      <c r="O52" s="813"/>
      <c r="P52" s="813"/>
      <c r="Q52" s="813"/>
      <c r="R52" s="813"/>
      <c r="S52" s="813"/>
      <c r="T52" s="813"/>
      <c r="U52" s="813"/>
      <c r="V52" s="813"/>
      <c r="W52" s="813"/>
      <c r="X52" s="813"/>
    </row>
    <row r="53" spans="1:24" hidden="1" x14ac:dyDescent="0.2">
      <c r="A53" s="813"/>
      <c r="B53" s="813"/>
      <c r="C53" s="813"/>
      <c r="D53" s="813"/>
      <c r="E53" s="813"/>
      <c r="F53" s="813"/>
      <c r="G53" s="813"/>
      <c r="H53" s="813"/>
      <c r="I53" s="813"/>
      <c r="J53" s="813"/>
      <c r="K53" s="813"/>
      <c r="L53" s="813"/>
      <c r="M53" s="813"/>
      <c r="N53" s="813"/>
      <c r="O53" s="813"/>
      <c r="P53" s="813"/>
      <c r="Q53" s="813"/>
      <c r="R53" s="813"/>
      <c r="S53" s="813"/>
      <c r="T53" s="813"/>
      <c r="U53" s="813"/>
      <c r="V53" s="813"/>
      <c r="W53" s="813"/>
      <c r="X53" s="813"/>
    </row>
    <row r="54" spans="1:24" hidden="1" x14ac:dyDescent="0.2">
      <c r="A54" s="813"/>
      <c r="B54" s="813"/>
      <c r="C54" s="813"/>
      <c r="D54" s="813"/>
      <c r="E54" s="813"/>
      <c r="F54" s="813"/>
      <c r="G54" s="813"/>
      <c r="H54" s="813"/>
      <c r="I54" s="813"/>
      <c r="J54" s="813"/>
      <c r="K54" s="813"/>
      <c r="L54" s="813"/>
      <c r="M54" s="813"/>
      <c r="N54" s="813"/>
      <c r="O54" s="813"/>
      <c r="P54" s="813"/>
      <c r="Q54" s="813"/>
      <c r="R54" s="813"/>
      <c r="S54" s="813"/>
      <c r="T54" s="813"/>
      <c r="U54" s="813"/>
      <c r="V54" s="813"/>
      <c r="W54" s="813"/>
      <c r="X54" s="813"/>
    </row>
    <row r="55" spans="1:24" hidden="1" x14ac:dyDescent="0.2">
      <c r="A55" s="813"/>
      <c r="B55" s="813"/>
      <c r="C55" s="813"/>
      <c r="D55" s="813"/>
      <c r="E55" s="813"/>
      <c r="F55" s="813"/>
      <c r="G55" s="813"/>
      <c r="H55" s="813"/>
      <c r="I55" s="813"/>
      <c r="J55" s="813"/>
      <c r="K55" s="813"/>
      <c r="L55" s="813"/>
      <c r="M55" s="813"/>
      <c r="N55" s="813"/>
      <c r="O55" s="813"/>
      <c r="P55" s="813"/>
      <c r="Q55" s="813"/>
      <c r="R55" s="813"/>
      <c r="S55" s="813"/>
      <c r="T55" s="813"/>
      <c r="U55" s="813"/>
      <c r="V55" s="813"/>
      <c r="W55" s="813"/>
      <c r="X55" s="813"/>
    </row>
    <row r="56" spans="1:24" hidden="1" x14ac:dyDescent="0.2">
      <c r="A56" s="813"/>
      <c r="B56" s="813"/>
      <c r="C56" s="813"/>
      <c r="D56" s="813"/>
      <c r="E56" s="813"/>
      <c r="F56" s="813"/>
      <c r="G56" s="813"/>
      <c r="H56" s="813"/>
      <c r="I56" s="813"/>
      <c r="J56" s="813"/>
      <c r="K56" s="813"/>
      <c r="L56" s="813"/>
      <c r="M56" s="813"/>
      <c r="N56" s="813"/>
      <c r="O56" s="813"/>
      <c r="P56" s="813"/>
      <c r="Q56" s="813"/>
      <c r="R56" s="813"/>
      <c r="S56" s="813"/>
      <c r="T56" s="813"/>
      <c r="U56" s="813"/>
      <c r="V56" s="813"/>
      <c r="W56" s="813"/>
      <c r="X56" s="813"/>
    </row>
    <row r="57" spans="1:24" hidden="1" x14ac:dyDescent="0.2">
      <c r="A57" s="813"/>
      <c r="B57" s="813"/>
      <c r="C57" s="813"/>
      <c r="D57" s="813"/>
      <c r="E57" s="813"/>
      <c r="F57" s="813"/>
      <c r="G57" s="813"/>
      <c r="H57" s="813"/>
      <c r="I57" s="813"/>
      <c r="J57" s="813"/>
      <c r="K57" s="813"/>
      <c r="L57" s="813"/>
      <c r="M57" s="813"/>
      <c r="N57" s="813"/>
      <c r="O57" s="813"/>
      <c r="P57" s="813"/>
      <c r="Q57" s="813"/>
      <c r="R57" s="813"/>
      <c r="S57" s="813"/>
      <c r="T57" s="813"/>
      <c r="U57" s="813"/>
      <c r="V57" s="813"/>
      <c r="W57" s="813"/>
      <c r="X57" s="813"/>
    </row>
    <row r="58" spans="1:24" hidden="1" x14ac:dyDescent="0.2">
      <c r="A58" s="813"/>
      <c r="B58" s="813"/>
      <c r="C58" s="813"/>
      <c r="D58" s="813"/>
      <c r="E58" s="813"/>
      <c r="F58" s="813"/>
      <c r="G58" s="813"/>
      <c r="H58" s="813"/>
      <c r="I58" s="813"/>
      <c r="J58" s="813"/>
      <c r="K58" s="813"/>
      <c r="L58" s="813"/>
      <c r="M58" s="813"/>
      <c r="N58" s="813"/>
      <c r="O58" s="813"/>
      <c r="P58" s="813"/>
      <c r="Q58" s="813"/>
      <c r="R58" s="813"/>
      <c r="S58" s="813"/>
      <c r="T58" s="813"/>
      <c r="U58" s="813"/>
      <c r="V58" s="813"/>
      <c r="W58" s="813"/>
      <c r="X58" s="813"/>
    </row>
    <row r="59" spans="1:24" hidden="1" x14ac:dyDescent="0.2">
      <c r="A59" s="813"/>
      <c r="B59" s="813"/>
      <c r="C59" s="813"/>
      <c r="D59" s="813"/>
      <c r="E59" s="813"/>
      <c r="F59" s="813"/>
      <c r="G59" s="813"/>
      <c r="H59" s="813"/>
      <c r="I59" s="813"/>
      <c r="J59" s="813"/>
      <c r="K59" s="813"/>
      <c r="L59" s="813"/>
      <c r="M59" s="813"/>
      <c r="N59" s="813"/>
      <c r="O59" s="813"/>
      <c r="P59" s="813"/>
      <c r="Q59" s="813"/>
      <c r="R59" s="813"/>
      <c r="S59" s="813"/>
      <c r="T59" s="813"/>
      <c r="U59" s="813"/>
      <c r="V59" s="813"/>
      <c r="W59" s="813"/>
      <c r="X59" s="813"/>
    </row>
    <row r="60" spans="1:24" hidden="1" x14ac:dyDescent="0.2">
      <c r="A60" s="813"/>
      <c r="B60" s="813"/>
      <c r="C60" s="813"/>
      <c r="D60" s="813"/>
      <c r="E60" s="813"/>
      <c r="F60" s="813"/>
      <c r="G60" s="813"/>
      <c r="H60" s="813"/>
      <c r="I60" s="813"/>
      <c r="J60" s="813"/>
      <c r="K60" s="813"/>
      <c r="L60" s="813"/>
      <c r="M60" s="813"/>
      <c r="N60" s="813"/>
      <c r="O60" s="813"/>
      <c r="P60" s="813"/>
      <c r="Q60" s="813"/>
      <c r="R60" s="813"/>
      <c r="S60" s="813"/>
      <c r="T60" s="813"/>
      <c r="U60" s="813"/>
      <c r="V60" s="813"/>
      <c r="W60" s="813"/>
      <c r="X60" s="813"/>
    </row>
    <row r="61" spans="1:24" hidden="1" x14ac:dyDescent="0.2">
      <c r="A61" s="813"/>
      <c r="B61" s="813"/>
      <c r="C61" s="813"/>
      <c r="D61" s="813"/>
      <c r="E61" s="813"/>
      <c r="F61" s="813"/>
      <c r="G61" s="813"/>
      <c r="H61" s="813"/>
      <c r="I61" s="813"/>
      <c r="J61" s="813"/>
      <c r="K61" s="813"/>
      <c r="L61" s="813"/>
      <c r="M61" s="813"/>
      <c r="N61" s="813"/>
      <c r="O61" s="813"/>
      <c r="P61" s="813"/>
      <c r="Q61" s="813"/>
      <c r="R61" s="813"/>
      <c r="S61" s="813"/>
      <c r="T61" s="813"/>
      <c r="U61" s="813"/>
      <c r="V61" s="813"/>
      <c r="W61" s="813"/>
      <c r="X61" s="813"/>
    </row>
    <row r="62" spans="1:24" hidden="1" x14ac:dyDescent="0.2">
      <c r="A62" s="813"/>
      <c r="B62" s="813"/>
      <c r="C62" s="813"/>
      <c r="D62" s="813"/>
      <c r="E62" s="813"/>
      <c r="F62" s="813"/>
      <c r="G62" s="813"/>
      <c r="H62" s="813"/>
      <c r="I62" s="813"/>
      <c r="J62" s="813"/>
      <c r="K62" s="813"/>
      <c r="L62" s="813"/>
      <c r="M62" s="813"/>
      <c r="N62" s="813"/>
      <c r="O62" s="813"/>
      <c r="P62" s="813"/>
      <c r="Q62" s="813"/>
      <c r="R62" s="813"/>
      <c r="S62" s="813"/>
      <c r="T62" s="813"/>
      <c r="U62" s="813"/>
      <c r="V62" s="813"/>
      <c r="W62" s="813"/>
      <c r="X62" s="813"/>
    </row>
    <row r="63" spans="1:24" hidden="1" x14ac:dyDescent="0.2">
      <c r="A63" s="813"/>
      <c r="B63" s="813"/>
      <c r="C63" s="813"/>
      <c r="D63" s="813"/>
      <c r="E63" s="813"/>
      <c r="F63" s="813"/>
      <c r="G63" s="813"/>
      <c r="H63" s="813"/>
      <c r="I63" s="813"/>
      <c r="J63" s="813"/>
      <c r="K63" s="813"/>
      <c r="L63" s="813"/>
      <c r="M63" s="813"/>
      <c r="N63" s="813"/>
      <c r="O63" s="813"/>
      <c r="P63" s="813"/>
      <c r="Q63" s="813"/>
      <c r="R63" s="813"/>
      <c r="S63" s="813"/>
      <c r="T63" s="813"/>
      <c r="U63" s="813"/>
      <c r="V63" s="813"/>
      <c r="W63" s="813"/>
      <c r="X63" s="813"/>
    </row>
    <row r="64" spans="1:24" hidden="1" x14ac:dyDescent="0.2">
      <c r="A64" s="813"/>
      <c r="B64" s="813"/>
      <c r="C64" s="813"/>
      <c r="D64" s="813"/>
      <c r="E64" s="813"/>
      <c r="F64" s="813"/>
      <c r="G64" s="813"/>
      <c r="H64" s="813"/>
      <c r="I64" s="813"/>
      <c r="J64" s="813"/>
      <c r="K64" s="813"/>
      <c r="L64" s="813"/>
      <c r="M64" s="813"/>
      <c r="N64" s="813"/>
      <c r="O64" s="813"/>
      <c r="P64" s="813"/>
      <c r="Q64" s="813"/>
      <c r="R64" s="813"/>
      <c r="S64" s="813"/>
      <c r="T64" s="813"/>
      <c r="U64" s="813"/>
      <c r="V64" s="813"/>
      <c r="W64" s="813"/>
      <c r="X64" s="813"/>
    </row>
    <row r="65" spans="1:24" hidden="1" x14ac:dyDescent="0.2">
      <c r="A65" s="813"/>
      <c r="B65" s="813"/>
      <c r="C65" s="813"/>
      <c r="D65" s="813"/>
      <c r="E65" s="813"/>
      <c r="F65" s="813"/>
      <c r="G65" s="813"/>
      <c r="H65" s="813"/>
      <c r="I65" s="813"/>
      <c r="J65" s="813"/>
      <c r="K65" s="813"/>
      <c r="L65" s="813"/>
      <c r="M65" s="813"/>
      <c r="N65" s="813"/>
      <c r="O65" s="813"/>
      <c r="P65" s="813"/>
      <c r="Q65" s="813"/>
      <c r="R65" s="813"/>
      <c r="S65" s="813"/>
      <c r="T65" s="813"/>
      <c r="U65" s="813"/>
      <c r="V65" s="813"/>
      <c r="W65" s="813"/>
      <c r="X65" s="813"/>
    </row>
    <row r="66" spans="1:24" hidden="1" x14ac:dyDescent="0.2">
      <c r="A66" s="813"/>
      <c r="B66" s="813"/>
      <c r="C66" s="813"/>
      <c r="D66" s="813"/>
      <c r="E66" s="813"/>
      <c r="F66" s="813"/>
      <c r="G66" s="813"/>
      <c r="H66" s="813"/>
      <c r="I66" s="813"/>
      <c r="J66" s="813"/>
      <c r="K66" s="813"/>
      <c r="L66" s="813"/>
      <c r="M66" s="813"/>
      <c r="N66" s="813"/>
      <c r="O66" s="813"/>
      <c r="P66" s="813"/>
      <c r="Q66" s="813"/>
      <c r="R66" s="813"/>
      <c r="S66" s="813"/>
      <c r="T66" s="813"/>
      <c r="U66" s="813"/>
      <c r="V66" s="813"/>
      <c r="W66" s="813"/>
      <c r="X66" s="813"/>
    </row>
    <row r="67" spans="1:24" hidden="1" x14ac:dyDescent="0.2">
      <c r="A67" s="813"/>
      <c r="B67" s="813"/>
      <c r="C67" s="813"/>
      <c r="D67" s="813"/>
      <c r="E67" s="813"/>
      <c r="F67" s="813"/>
      <c r="G67" s="813"/>
      <c r="H67" s="813"/>
      <c r="I67" s="813"/>
      <c r="J67" s="813"/>
      <c r="K67" s="813"/>
      <c r="L67" s="813"/>
      <c r="M67" s="813"/>
      <c r="N67" s="813"/>
      <c r="O67" s="813"/>
      <c r="P67" s="813"/>
      <c r="Q67" s="813"/>
      <c r="R67" s="813"/>
      <c r="S67" s="813"/>
      <c r="T67" s="813"/>
      <c r="U67" s="813"/>
      <c r="V67" s="813"/>
      <c r="W67" s="813"/>
      <c r="X67" s="813"/>
    </row>
    <row r="68" spans="1:24" hidden="1" x14ac:dyDescent="0.2">
      <c r="A68" s="813"/>
      <c r="B68" s="813"/>
      <c r="C68" s="813"/>
      <c r="D68" s="813"/>
      <c r="E68" s="813"/>
      <c r="F68" s="813"/>
      <c r="G68" s="813"/>
      <c r="H68" s="813"/>
      <c r="I68" s="813"/>
      <c r="J68" s="813"/>
      <c r="K68" s="813"/>
      <c r="L68" s="813"/>
      <c r="M68" s="813"/>
      <c r="N68" s="813"/>
      <c r="O68" s="813"/>
      <c r="P68" s="813"/>
      <c r="Q68" s="813"/>
      <c r="R68" s="813"/>
      <c r="S68" s="813"/>
      <c r="T68" s="813"/>
      <c r="U68" s="813"/>
      <c r="V68" s="813"/>
      <c r="W68" s="813"/>
      <c r="X68" s="813"/>
    </row>
    <row r="69" spans="1:24" hidden="1" x14ac:dyDescent="0.2">
      <c r="A69" s="813"/>
      <c r="B69" s="813"/>
      <c r="C69" s="813"/>
      <c r="D69" s="813"/>
      <c r="E69" s="813"/>
      <c r="F69" s="813"/>
      <c r="G69" s="813"/>
      <c r="H69" s="813"/>
      <c r="I69" s="813"/>
      <c r="J69" s="813"/>
      <c r="K69" s="813"/>
      <c r="L69" s="813"/>
      <c r="M69" s="813"/>
      <c r="N69" s="813"/>
      <c r="O69" s="813"/>
      <c r="P69" s="813"/>
      <c r="Q69" s="813"/>
      <c r="R69" s="813"/>
      <c r="S69" s="813"/>
      <c r="T69" s="813"/>
      <c r="U69" s="813"/>
      <c r="V69" s="813"/>
      <c r="W69" s="813"/>
      <c r="X69" s="813"/>
    </row>
    <row r="70" spans="1:24" hidden="1" x14ac:dyDescent="0.2">
      <c r="A70" s="813"/>
      <c r="B70" s="813"/>
      <c r="C70" s="813"/>
      <c r="D70" s="813"/>
      <c r="E70" s="813"/>
      <c r="F70" s="813"/>
      <c r="G70" s="813"/>
      <c r="H70" s="813"/>
      <c r="I70" s="813"/>
      <c r="J70" s="813"/>
      <c r="K70" s="813"/>
      <c r="L70" s="813"/>
      <c r="M70" s="813"/>
      <c r="N70" s="813"/>
      <c r="O70" s="813"/>
      <c r="P70" s="813"/>
      <c r="Q70" s="813"/>
      <c r="R70" s="813"/>
      <c r="S70" s="813"/>
      <c r="T70" s="813"/>
      <c r="U70" s="813"/>
      <c r="V70" s="813"/>
      <c r="W70" s="813"/>
      <c r="X70" s="813"/>
    </row>
    <row r="71" spans="1:24" hidden="1" x14ac:dyDescent="0.2">
      <c r="A71" s="813"/>
      <c r="B71" s="813"/>
      <c r="C71" s="813"/>
      <c r="D71" s="813"/>
      <c r="E71" s="813"/>
      <c r="F71" s="813"/>
      <c r="G71" s="813"/>
      <c r="H71" s="813"/>
      <c r="I71" s="813"/>
      <c r="J71" s="813"/>
      <c r="K71" s="813"/>
      <c r="L71" s="813"/>
      <c r="M71" s="813"/>
      <c r="N71" s="813"/>
      <c r="O71" s="813"/>
      <c r="P71" s="813"/>
      <c r="Q71" s="813"/>
      <c r="R71" s="813"/>
      <c r="S71" s="813"/>
      <c r="T71" s="813"/>
      <c r="U71" s="813"/>
      <c r="V71" s="813"/>
      <c r="W71" s="813"/>
      <c r="X71" s="813"/>
    </row>
    <row r="72" spans="1:24" hidden="1" x14ac:dyDescent="0.2">
      <c r="A72" s="813"/>
      <c r="B72" s="813"/>
      <c r="C72" s="813"/>
      <c r="D72" s="813"/>
      <c r="E72" s="813"/>
      <c r="F72" s="813"/>
      <c r="G72" s="813"/>
      <c r="H72" s="813"/>
      <c r="I72" s="813"/>
      <c r="J72" s="813"/>
      <c r="K72" s="813"/>
      <c r="L72" s="813"/>
      <c r="M72" s="813"/>
      <c r="N72" s="813"/>
      <c r="O72" s="813"/>
      <c r="P72" s="813"/>
      <c r="Q72" s="813"/>
      <c r="R72" s="813"/>
      <c r="S72" s="813"/>
      <c r="T72" s="813"/>
      <c r="U72" s="813"/>
      <c r="V72" s="813"/>
      <c r="W72" s="813"/>
      <c r="X72" s="813"/>
    </row>
    <row r="73" spans="1:24" hidden="1" x14ac:dyDescent="0.2">
      <c r="A73" s="813"/>
      <c r="B73" s="813"/>
      <c r="C73" s="813"/>
      <c r="D73" s="813"/>
      <c r="E73" s="813"/>
      <c r="F73" s="813"/>
      <c r="G73" s="813"/>
      <c r="H73" s="813"/>
      <c r="I73" s="813"/>
      <c r="J73" s="813"/>
      <c r="K73" s="813"/>
      <c r="L73" s="813"/>
      <c r="M73" s="813"/>
      <c r="N73" s="813"/>
      <c r="O73" s="813"/>
      <c r="P73" s="813"/>
      <c r="Q73" s="813"/>
      <c r="R73" s="813"/>
      <c r="S73" s="813"/>
      <c r="T73" s="813"/>
      <c r="U73" s="813"/>
      <c r="V73" s="813"/>
      <c r="W73" s="813"/>
      <c r="X73" s="813"/>
    </row>
    <row r="74" spans="1:24" hidden="1" x14ac:dyDescent="0.2">
      <c r="A74" s="813"/>
      <c r="B74" s="813"/>
      <c r="C74" s="813"/>
      <c r="D74" s="813"/>
      <c r="E74" s="813"/>
      <c r="F74" s="813"/>
      <c r="G74" s="813"/>
      <c r="H74" s="813"/>
      <c r="I74" s="813"/>
      <c r="J74" s="813"/>
      <c r="K74" s="813"/>
      <c r="L74" s="813"/>
      <c r="M74" s="813"/>
      <c r="N74" s="813"/>
      <c r="O74" s="813"/>
      <c r="P74" s="813"/>
      <c r="Q74" s="813"/>
      <c r="R74" s="813"/>
      <c r="S74" s="813"/>
      <c r="T74" s="813"/>
      <c r="U74" s="813"/>
      <c r="V74" s="813"/>
      <c r="W74" s="813"/>
      <c r="X74" s="813"/>
    </row>
    <row r="75" spans="1:24" hidden="1" x14ac:dyDescent="0.2">
      <c r="A75" s="813"/>
      <c r="B75" s="813"/>
      <c r="C75" s="813"/>
      <c r="D75" s="813"/>
      <c r="E75" s="813"/>
      <c r="F75" s="813"/>
      <c r="G75" s="813"/>
      <c r="H75" s="813"/>
      <c r="I75" s="813"/>
      <c r="J75" s="813"/>
      <c r="K75" s="813"/>
      <c r="L75" s="813"/>
      <c r="M75" s="813"/>
      <c r="N75" s="813"/>
      <c r="O75" s="813"/>
      <c r="P75" s="813"/>
      <c r="Q75" s="813"/>
      <c r="R75" s="813"/>
      <c r="S75" s="813"/>
      <c r="T75" s="813"/>
      <c r="U75" s="813"/>
      <c r="V75" s="813"/>
      <c r="W75" s="813"/>
      <c r="X75" s="813"/>
    </row>
    <row r="76" spans="1:24" hidden="1" x14ac:dyDescent="0.2">
      <c r="A76" s="813"/>
      <c r="B76" s="813"/>
      <c r="C76" s="813"/>
      <c r="D76" s="813"/>
      <c r="E76" s="813"/>
      <c r="F76" s="813"/>
      <c r="G76" s="813"/>
      <c r="H76" s="813"/>
      <c r="I76" s="813"/>
      <c r="J76" s="813"/>
      <c r="K76" s="813"/>
      <c r="L76" s="813"/>
      <c r="M76" s="813"/>
      <c r="N76" s="813"/>
      <c r="O76" s="813"/>
      <c r="P76" s="813"/>
      <c r="Q76" s="813"/>
      <c r="R76" s="813"/>
      <c r="S76" s="813"/>
      <c r="T76" s="813"/>
      <c r="U76" s="813"/>
      <c r="V76" s="813"/>
      <c r="W76" s="813"/>
      <c r="X76" s="813"/>
    </row>
    <row r="77" spans="1:24" hidden="1" x14ac:dyDescent="0.2">
      <c r="A77" s="813"/>
      <c r="B77" s="813"/>
      <c r="C77" s="813"/>
      <c r="D77" s="813"/>
      <c r="E77" s="813"/>
      <c r="F77" s="813"/>
      <c r="G77" s="813"/>
      <c r="H77" s="813"/>
      <c r="I77" s="813"/>
      <c r="J77" s="813"/>
      <c r="K77" s="813"/>
      <c r="L77" s="813"/>
      <c r="M77" s="813"/>
      <c r="N77" s="813"/>
      <c r="O77" s="813"/>
      <c r="P77" s="813"/>
      <c r="Q77" s="813"/>
      <c r="R77" s="813"/>
      <c r="S77" s="813"/>
      <c r="T77" s="813"/>
      <c r="U77" s="813"/>
      <c r="V77" s="813"/>
      <c r="W77" s="813"/>
      <c r="X77" s="813"/>
    </row>
    <row r="78" spans="1:24" hidden="1" x14ac:dyDescent="0.2">
      <c r="A78" s="813"/>
      <c r="B78" s="813"/>
      <c r="C78" s="813"/>
      <c r="D78" s="813"/>
      <c r="E78" s="813"/>
      <c r="F78" s="813"/>
      <c r="G78" s="813"/>
      <c r="H78" s="813"/>
      <c r="I78" s="813"/>
      <c r="J78" s="813"/>
      <c r="K78" s="813"/>
      <c r="L78" s="813"/>
      <c r="M78" s="813"/>
      <c r="N78" s="813"/>
      <c r="O78" s="813"/>
      <c r="P78" s="813"/>
      <c r="Q78" s="813"/>
      <c r="R78" s="813"/>
      <c r="S78" s="813"/>
      <c r="T78" s="813"/>
      <c r="U78" s="813"/>
      <c r="V78" s="813"/>
      <c r="W78" s="813"/>
      <c r="X78" s="813"/>
    </row>
    <row r="79" spans="1:24" hidden="1" x14ac:dyDescent="0.2">
      <c r="A79" s="813"/>
      <c r="B79" s="813"/>
      <c r="C79" s="813"/>
      <c r="D79" s="813"/>
      <c r="E79" s="813"/>
      <c r="F79" s="813"/>
      <c r="G79" s="813"/>
      <c r="H79" s="813"/>
      <c r="I79" s="813"/>
      <c r="J79" s="813"/>
      <c r="K79" s="813"/>
      <c r="L79" s="813"/>
      <c r="M79" s="813"/>
      <c r="N79" s="813"/>
      <c r="O79" s="813"/>
      <c r="P79" s="813"/>
      <c r="Q79" s="813"/>
      <c r="R79" s="813"/>
      <c r="S79" s="813"/>
      <c r="T79" s="813"/>
      <c r="U79" s="813"/>
      <c r="V79" s="813"/>
      <c r="W79" s="813"/>
      <c r="X79" s="813"/>
    </row>
    <row r="80" spans="1:24" hidden="1" x14ac:dyDescent="0.2">
      <c r="A80" s="813"/>
      <c r="B80" s="813"/>
      <c r="C80" s="813"/>
      <c r="D80" s="813"/>
      <c r="E80" s="813"/>
      <c r="F80" s="813"/>
      <c r="G80" s="813"/>
      <c r="H80" s="813"/>
      <c r="I80" s="813"/>
      <c r="J80" s="813"/>
      <c r="K80" s="813"/>
      <c r="L80" s="813"/>
      <c r="M80" s="813"/>
      <c r="N80" s="813"/>
      <c r="O80" s="813"/>
      <c r="P80" s="813"/>
      <c r="Q80" s="813"/>
      <c r="R80" s="813"/>
      <c r="S80" s="813"/>
      <c r="T80" s="813"/>
      <c r="U80" s="813"/>
      <c r="V80" s="813"/>
      <c r="W80" s="813"/>
      <c r="X80" s="813"/>
    </row>
    <row r="81" spans="1:24" hidden="1" x14ac:dyDescent="0.2">
      <c r="A81" s="813"/>
      <c r="B81" s="813"/>
      <c r="C81" s="813"/>
      <c r="D81" s="813"/>
      <c r="E81" s="813"/>
      <c r="F81" s="813"/>
      <c r="G81" s="813"/>
      <c r="H81" s="813"/>
      <c r="I81" s="813"/>
      <c r="J81" s="813"/>
      <c r="K81" s="813"/>
      <c r="L81" s="813"/>
      <c r="M81" s="813"/>
      <c r="N81" s="813"/>
      <c r="O81" s="813"/>
      <c r="P81" s="813"/>
      <c r="Q81" s="813"/>
      <c r="R81" s="813"/>
      <c r="S81" s="813"/>
      <c r="T81" s="813"/>
      <c r="U81" s="813"/>
      <c r="V81" s="813"/>
      <c r="W81" s="813"/>
      <c r="X81" s="813"/>
    </row>
    <row r="82" spans="1:24" hidden="1" x14ac:dyDescent="0.2">
      <c r="A82" s="813"/>
      <c r="B82" s="813"/>
      <c r="C82" s="813"/>
      <c r="D82" s="813"/>
      <c r="E82" s="813"/>
      <c r="F82" s="813"/>
      <c r="G82" s="813"/>
      <c r="H82" s="813"/>
      <c r="I82" s="813"/>
      <c r="J82" s="813"/>
      <c r="K82" s="813"/>
      <c r="L82" s="813"/>
      <c r="M82" s="813"/>
      <c r="N82" s="813"/>
      <c r="O82" s="813"/>
      <c r="P82" s="813"/>
      <c r="Q82" s="813"/>
      <c r="R82" s="813"/>
      <c r="S82" s="813"/>
      <c r="T82" s="813"/>
      <c r="U82" s="813"/>
      <c r="V82" s="813"/>
      <c r="W82" s="813"/>
      <c r="X82" s="813"/>
    </row>
    <row r="83" spans="1:24" hidden="1" x14ac:dyDescent="0.2">
      <c r="A83" s="813"/>
      <c r="B83" s="813"/>
      <c r="C83" s="813"/>
      <c r="D83" s="813"/>
      <c r="E83" s="813"/>
      <c r="F83" s="813"/>
      <c r="G83" s="813"/>
      <c r="H83" s="813"/>
      <c r="I83" s="813"/>
      <c r="J83" s="813"/>
      <c r="K83" s="813"/>
      <c r="L83" s="813"/>
      <c r="M83" s="813"/>
      <c r="N83" s="813"/>
      <c r="O83" s="813"/>
      <c r="P83" s="813"/>
      <c r="Q83" s="813"/>
      <c r="R83" s="813"/>
      <c r="S83" s="813"/>
      <c r="T83" s="813"/>
      <c r="U83" s="813"/>
      <c r="V83" s="813"/>
      <c r="W83" s="813"/>
      <c r="X83" s="813"/>
    </row>
    <row r="84" spans="1:24" hidden="1" x14ac:dyDescent="0.2">
      <c r="A84" s="813"/>
      <c r="B84" s="813"/>
      <c r="C84" s="813"/>
      <c r="D84" s="813"/>
      <c r="E84" s="813"/>
      <c r="F84" s="813"/>
      <c r="G84" s="813"/>
      <c r="H84" s="813"/>
      <c r="I84" s="813"/>
      <c r="J84" s="813"/>
      <c r="K84" s="813"/>
      <c r="L84" s="813"/>
      <c r="M84" s="813"/>
      <c r="N84" s="813"/>
      <c r="O84" s="813"/>
      <c r="P84" s="813"/>
      <c r="Q84" s="813"/>
      <c r="R84" s="813"/>
      <c r="S84" s="813"/>
      <c r="T84" s="813"/>
      <c r="U84" s="813"/>
      <c r="V84" s="813"/>
      <c r="W84" s="813"/>
      <c r="X84" s="813"/>
    </row>
    <row r="85" spans="1:24" hidden="1" x14ac:dyDescent="0.2">
      <c r="A85" s="813"/>
      <c r="B85" s="813"/>
      <c r="C85" s="813"/>
      <c r="D85" s="813"/>
      <c r="E85" s="813"/>
      <c r="F85" s="813"/>
      <c r="G85" s="813"/>
      <c r="H85" s="813"/>
      <c r="I85" s="813"/>
      <c r="J85" s="813"/>
      <c r="K85" s="813"/>
      <c r="L85" s="813"/>
      <c r="M85" s="813"/>
      <c r="N85" s="813"/>
      <c r="O85" s="813"/>
      <c r="P85" s="813"/>
      <c r="Q85" s="813"/>
      <c r="R85" s="813"/>
      <c r="S85" s="813"/>
      <c r="T85" s="813"/>
      <c r="U85" s="813"/>
      <c r="V85" s="813"/>
      <c r="W85" s="813"/>
      <c r="X85" s="813"/>
    </row>
    <row r="86" spans="1:24" hidden="1" x14ac:dyDescent="0.2">
      <c r="A86" s="813"/>
      <c r="B86" s="813"/>
      <c r="C86" s="813"/>
      <c r="D86" s="813"/>
      <c r="E86" s="813"/>
      <c r="F86" s="813"/>
      <c r="G86" s="813"/>
      <c r="H86" s="813"/>
      <c r="I86" s="813"/>
      <c r="J86" s="813"/>
      <c r="K86" s="813"/>
      <c r="L86" s="813"/>
      <c r="M86" s="813"/>
      <c r="N86" s="813"/>
      <c r="O86" s="813"/>
      <c r="P86" s="813"/>
      <c r="Q86" s="813"/>
      <c r="R86" s="813"/>
      <c r="S86" s="813"/>
      <c r="T86" s="813"/>
      <c r="U86" s="813"/>
      <c r="V86" s="813"/>
      <c r="W86" s="813"/>
      <c r="X86" s="813"/>
    </row>
    <row r="87" spans="1:24" hidden="1" x14ac:dyDescent="0.2">
      <c r="A87" s="813"/>
      <c r="B87" s="813"/>
      <c r="C87" s="813"/>
      <c r="D87" s="813"/>
      <c r="E87" s="813"/>
      <c r="F87" s="813"/>
      <c r="G87" s="813"/>
      <c r="H87" s="813"/>
      <c r="I87" s="813"/>
      <c r="J87" s="813"/>
      <c r="K87" s="813"/>
      <c r="L87" s="813"/>
      <c r="M87" s="813"/>
      <c r="N87" s="813"/>
      <c r="O87" s="813"/>
      <c r="P87" s="813"/>
      <c r="Q87" s="813"/>
      <c r="R87" s="813"/>
      <c r="S87" s="813"/>
      <c r="T87" s="813"/>
      <c r="U87" s="813"/>
      <c r="V87" s="813"/>
      <c r="W87" s="813"/>
      <c r="X87" s="813"/>
    </row>
    <row r="88" spans="1:24" hidden="1" x14ac:dyDescent="0.2">
      <c r="A88" s="813"/>
      <c r="B88" s="813"/>
      <c r="C88" s="813"/>
      <c r="D88" s="813"/>
      <c r="E88" s="813"/>
      <c r="F88" s="813"/>
      <c r="G88" s="813"/>
      <c r="H88" s="813"/>
      <c r="I88" s="813"/>
      <c r="J88" s="813"/>
      <c r="K88" s="813"/>
      <c r="L88" s="813"/>
      <c r="M88" s="813"/>
      <c r="N88" s="813"/>
      <c r="O88" s="813"/>
      <c r="P88" s="813"/>
      <c r="Q88" s="813"/>
      <c r="R88" s="813"/>
      <c r="S88" s="813"/>
      <c r="T88" s="813"/>
      <c r="U88" s="813"/>
      <c r="V88" s="813"/>
      <c r="W88" s="813"/>
      <c r="X88" s="813"/>
    </row>
    <row r="89" spans="1:24" hidden="1" x14ac:dyDescent="0.2">
      <c r="A89" s="813"/>
      <c r="B89" s="813"/>
      <c r="C89" s="813"/>
      <c r="D89" s="813"/>
      <c r="E89" s="813"/>
      <c r="F89" s="813"/>
      <c r="G89" s="813"/>
      <c r="H89" s="813"/>
      <c r="I89" s="813"/>
      <c r="J89" s="813"/>
      <c r="K89" s="813"/>
      <c r="L89" s="813"/>
      <c r="M89" s="813"/>
      <c r="N89" s="813"/>
      <c r="O89" s="813"/>
      <c r="P89" s="813"/>
      <c r="Q89" s="813"/>
      <c r="R89" s="813"/>
      <c r="S89" s="813"/>
      <c r="T89" s="813"/>
      <c r="U89" s="813"/>
      <c r="V89" s="813"/>
      <c r="W89" s="813"/>
      <c r="X89" s="813"/>
    </row>
    <row r="90" spans="1:24" hidden="1" x14ac:dyDescent="0.2">
      <c r="A90" s="813"/>
      <c r="B90" s="813"/>
      <c r="C90" s="813"/>
      <c r="D90" s="813"/>
      <c r="E90" s="813"/>
      <c r="F90" s="813"/>
      <c r="G90" s="813"/>
      <c r="H90" s="813"/>
      <c r="I90" s="813"/>
      <c r="J90" s="813"/>
      <c r="K90" s="813"/>
      <c r="L90" s="813"/>
      <c r="M90" s="813"/>
      <c r="N90" s="813"/>
      <c r="O90" s="813"/>
      <c r="P90" s="813"/>
      <c r="Q90" s="813"/>
      <c r="R90" s="813"/>
      <c r="S90" s="813"/>
      <c r="T90" s="813"/>
      <c r="U90" s="813"/>
      <c r="V90" s="813"/>
      <c r="W90" s="813"/>
      <c r="X90" s="813"/>
    </row>
    <row r="91" spans="1:24" hidden="1" x14ac:dyDescent="0.2">
      <c r="A91" s="813"/>
      <c r="B91" s="813"/>
      <c r="C91" s="813"/>
      <c r="D91" s="813"/>
      <c r="E91" s="813"/>
      <c r="F91" s="813"/>
      <c r="G91" s="813"/>
      <c r="H91" s="813"/>
      <c r="I91" s="813"/>
      <c r="J91" s="813"/>
      <c r="K91" s="813"/>
      <c r="L91" s="813"/>
      <c r="M91" s="813"/>
      <c r="N91" s="813"/>
      <c r="O91" s="813"/>
      <c r="P91" s="813"/>
      <c r="Q91" s="813"/>
      <c r="R91" s="813"/>
      <c r="S91" s="813"/>
      <c r="T91" s="813"/>
      <c r="U91" s="813"/>
      <c r="V91" s="813"/>
      <c r="W91" s="813"/>
      <c r="X91" s="813"/>
    </row>
    <row r="92" spans="1:24" hidden="1" x14ac:dyDescent="0.2">
      <c r="A92" s="813"/>
      <c r="B92" s="813"/>
      <c r="C92" s="813"/>
      <c r="D92" s="813"/>
      <c r="E92" s="813"/>
      <c r="F92" s="813"/>
      <c r="G92" s="813"/>
      <c r="H92" s="813"/>
      <c r="I92" s="813"/>
      <c r="J92" s="813"/>
      <c r="K92" s="813"/>
      <c r="L92" s="813"/>
      <c r="M92" s="813"/>
      <c r="N92" s="813"/>
      <c r="O92" s="813"/>
      <c r="P92" s="813"/>
      <c r="Q92" s="813"/>
      <c r="R92" s="813"/>
      <c r="S92" s="813"/>
      <c r="T92" s="813"/>
      <c r="U92" s="813"/>
      <c r="V92" s="813"/>
      <c r="W92" s="813"/>
      <c r="X92" s="813"/>
    </row>
    <row r="93" spans="1:24" hidden="1" x14ac:dyDescent="0.2">
      <c r="A93" s="813"/>
      <c r="B93" s="813"/>
      <c r="C93" s="813"/>
      <c r="D93" s="813"/>
      <c r="E93" s="813"/>
      <c r="F93" s="813"/>
      <c r="G93" s="813"/>
      <c r="H93" s="813"/>
      <c r="I93" s="813"/>
      <c r="J93" s="813"/>
      <c r="K93" s="813"/>
      <c r="L93" s="813"/>
      <c r="M93" s="813"/>
      <c r="N93" s="813"/>
      <c r="O93" s="813"/>
      <c r="P93" s="813"/>
      <c r="Q93" s="813"/>
      <c r="R93" s="813"/>
      <c r="S93" s="813"/>
      <c r="T93" s="813"/>
      <c r="U93" s="813"/>
      <c r="V93" s="813"/>
      <c r="W93" s="813"/>
      <c r="X93" s="813"/>
    </row>
    <row r="94" spans="1:24" hidden="1" x14ac:dyDescent="0.2">
      <c r="A94" s="813"/>
      <c r="B94" s="813"/>
      <c r="C94" s="813"/>
      <c r="D94" s="813"/>
      <c r="E94" s="813"/>
      <c r="F94" s="813"/>
      <c r="G94" s="813"/>
      <c r="H94" s="813"/>
      <c r="I94" s="813"/>
      <c r="J94" s="813"/>
      <c r="K94" s="813"/>
      <c r="L94" s="813"/>
      <c r="M94" s="813"/>
      <c r="N94" s="813"/>
      <c r="O94" s="813"/>
      <c r="P94" s="813"/>
      <c r="Q94" s="813"/>
      <c r="R94" s="813"/>
      <c r="S94" s="813"/>
      <c r="T94" s="813"/>
      <c r="U94" s="813"/>
      <c r="V94" s="813"/>
      <c r="W94" s="813"/>
      <c r="X94" s="813"/>
    </row>
    <row r="95" spans="1:24" hidden="1" x14ac:dyDescent="0.2">
      <c r="A95" s="813"/>
      <c r="B95" s="813"/>
      <c r="C95" s="813"/>
      <c r="D95" s="813"/>
      <c r="E95" s="813"/>
      <c r="F95" s="813"/>
      <c r="G95" s="813"/>
      <c r="H95" s="813"/>
      <c r="I95" s="813"/>
      <c r="J95" s="813"/>
      <c r="K95" s="813"/>
      <c r="L95" s="813"/>
      <c r="M95" s="813"/>
      <c r="N95" s="813"/>
      <c r="O95" s="813"/>
      <c r="P95" s="813"/>
      <c r="Q95" s="813"/>
      <c r="R95" s="813"/>
      <c r="S95" s="813"/>
      <c r="T95" s="813"/>
      <c r="U95" s="813"/>
      <c r="V95" s="813"/>
      <c r="W95" s="813"/>
      <c r="X95" s="813"/>
    </row>
    <row r="96" spans="1:24" hidden="1" x14ac:dyDescent="0.2">
      <c r="A96" s="813"/>
      <c r="B96" s="813"/>
      <c r="C96" s="813"/>
      <c r="D96" s="813"/>
      <c r="E96" s="813"/>
      <c r="F96" s="813"/>
      <c r="G96" s="813"/>
      <c r="H96" s="813"/>
      <c r="I96" s="813"/>
      <c r="J96" s="813"/>
      <c r="K96" s="813"/>
      <c r="L96" s="813"/>
      <c r="M96" s="813"/>
      <c r="N96" s="813"/>
      <c r="O96" s="813"/>
      <c r="P96" s="813"/>
      <c r="Q96" s="813"/>
      <c r="R96" s="813"/>
      <c r="S96" s="813"/>
      <c r="T96" s="813"/>
      <c r="U96" s="813"/>
      <c r="V96" s="813"/>
      <c r="W96" s="813"/>
      <c r="X96" s="813"/>
    </row>
    <row r="97" spans="1:24" hidden="1" x14ac:dyDescent="0.2">
      <c r="A97" s="813"/>
      <c r="B97" s="813"/>
      <c r="C97" s="813"/>
      <c r="D97" s="813"/>
      <c r="E97" s="813"/>
      <c r="F97" s="813"/>
      <c r="G97" s="813"/>
      <c r="H97" s="813"/>
      <c r="I97" s="813"/>
      <c r="J97" s="813"/>
      <c r="K97" s="813"/>
      <c r="L97" s="813"/>
      <c r="M97" s="813"/>
      <c r="N97" s="813"/>
      <c r="O97" s="813"/>
      <c r="P97" s="813"/>
      <c r="Q97" s="813"/>
      <c r="R97" s="813"/>
      <c r="S97" s="813"/>
      <c r="T97" s="813"/>
      <c r="U97" s="813"/>
      <c r="V97" s="813"/>
      <c r="W97" s="813"/>
      <c r="X97" s="813"/>
    </row>
    <row r="98" spans="1:24" hidden="1" x14ac:dyDescent="0.2">
      <c r="A98" s="813"/>
      <c r="B98" s="813"/>
      <c r="C98" s="813"/>
      <c r="D98" s="813"/>
      <c r="E98" s="813"/>
      <c r="F98" s="813"/>
      <c r="G98" s="813"/>
      <c r="H98" s="813"/>
      <c r="I98" s="813"/>
      <c r="J98" s="813"/>
      <c r="K98" s="813"/>
      <c r="L98" s="813"/>
      <c r="M98" s="813"/>
      <c r="N98" s="813"/>
      <c r="O98" s="813"/>
      <c r="P98" s="813"/>
      <c r="Q98" s="813"/>
      <c r="R98" s="813"/>
      <c r="S98" s="813"/>
      <c r="T98" s="813"/>
      <c r="U98" s="813"/>
      <c r="V98" s="813"/>
      <c r="W98" s="813"/>
      <c r="X98" s="813"/>
    </row>
    <row r="99" spans="1:24" hidden="1" x14ac:dyDescent="0.2">
      <c r="A99" s="813"/>
      <c r="B99" s="813"/>
      <c r="C99" s="813"/>
      <c r="D99" s="813"/>
      <c r="E99" s="813"/>
      <c r="F99" s="813"/>
      <c r="G99" s="813"/>
      <c r="H99" s="813"/>
      <c r="I99" s="813"/>
      <c r="J99" s="813"/>
      <c r="K99" s="813"/>
      <c r="L99" s="813"/>
      <c r="M99" s="813"/>
      <c r="N99" s="813"/>
      <c r="O99" s="813"/>
      <c r="P99" s="813"/>
      <c r="Q99" s="813"/>
      <c r="R99" s="813"/>
      <c r="S99" s="813"/>
      <c r="T99" s="813"/>
      <c r="U99" s="813"/>
      <c r="V99" s="813"/>
      <c r="W99" s="813"/>
      <c r="X99" s="813"/>
    </row>
    <row r="100" spans="1:24" hidden="1" x14ac:dyDescent="0.2">
      <c r="A100" s="813"/>
      <c r="B100" s="813"/>
      <c r="C100" s="813"/>
      <c r="D100" s="813"/>
      <c r="E100" s="813"/>
      <c r="F100" s="813"/>
      <c r="G100" s="813"/>
      <c r="H100" s="813"/>
      <c r="I100" s="813"/>
      <c r="J100" s="813"/>
      <c r="K100" s="813"/>
      <c r="L100" s="813"/>
      <c r="M100" s="813"/>
      <c r="N100" s="813"/>
      <c r="O100" s="813"/>
      <c r="P100" s="813"/>
      <c r="Q100" s="813"/>
      <c r="R100" s="813"/>
      <c r="S100" s="813"/>
      <c r="T100" s="813"/>
      <c r="U100" s="813"/>
      <c r="V100" s="813"/>
      <c r="W100" s="813"/>
      <c r="X100" s="813"/>
    </row>
    <row r="101" spans="1:24" hidden="1" x14ac:dyDescent="0.2">
      <c r="A101" s="813"/>
      <c r="B101" s="813"/>
      <c r="C101" s="813"/>
      <c r="D101" s="813"/>
      <c r="E101" s="813"/>
      <c r="F101" s="813"/>
      <c r="G101" s="813"/>
      <c r="H101" s="813"/>
      <c r="I101" s="813"/>
      <c r="J101" s="813"/>
      <c r="K101" s="813"/>
      <c r="L101" s="813"/>
      <c r="M101" s="813"/>
      <c r="N101" s="813"/>
      <c r="O101" s="813"/>
      <c r="P101" s="813"/>
      <c r="Q101" s="813"/>
      <c r="R101" s="813"/>
      <c r="S101" s="813"/>
      <c r="T101" s="813"/>
      <c r="U101" s="813"/>
      <c r="V101" s="813"/>
      <c r="W101" s="813"/>
      <c r="X101" s="813"/>
    </row>
    <row r="102" spans="1:24" hidden="1" x14ac:dyDescent="0.2">
      <c r="A102" s="813"/>
      <c r="B102" s="813"/>
      <c r="C102" s="813"/>
      <c r="D102" s="813"/>
      <c r="E102" s="813"/>
      <c r="F102" s="813"/>
      <c r="G102" s="813"/>
      <c r="H102" s="813"/>
      <c r="I102" s="813"/>
      <c r="J102" s="813"/>
      <c r="K102" s="813"/>
      <c r="L102" s="813"/>
      <c r="M102" s="813"/>
      <c r="N102" s="813"/>
      <c r="O102" s="813"/>
      <c r="P102" s="813"/>
      <c r="Q102" s="813"/>
      <c r="R102" s="813"/>
      <c r="S102" s="813"/>
      <c r="T102" s="813"/>
      <c r="U102" s="813"/>
      <c r="V102" s="813"/>
      <c r="W102" s="813"/>
      <c r="X102" s="813"/>
    </row>
    <row r="103" spans="1:24" hidden="1" x14ac:dyDescent="0.2">
      <c r="A103" s="813"/>
      <c r="B103" s="813"/>
      <c r="C103" s="813"/>
      <c r="D103" s="813"/>
      <c r="E103" s="813"/>
      <c r="F103" s="813"/>
      <c r="G103" s="813"/>
      <c r="H103" s="813"/>
      <c r="I103" s="813"/>
      <c r="J103" s="813"/>
      <c r="K103" s="813"/>
      <c r="L103" s="813"/>
      <c r="M103" s="813"/>
      <c r="N103" s="813"/>
      <c r="O103" s="813"/>
      <c r="P103" s="813"/>
      <c r="Q103" s="813"/>
      <c r="R103" s="813"/>
      <c r="S103" s="813"/>
      <c r="T103" s="813"/>
      <c r="U103" s="813"/>
      <c r="V103" s="813"/>
      <c r="W103" s="813"/>
      <c r="X103" s="813"/>
    </row>
    <row r="104" spans="1:24" hidden="1" x14ac:dyDescent="0.2">
      <c r="A104" s="813"/>
      <c r="B104" s="813"/>
      <c r="C104" s="813"/>
      <c r="D104" s="813"/>
      <c r="E104" s="813"/>
      <c r="F104" s="813"/>
      <c r="G104" s="813"/>
      <c r="H104" s="813"/>
      <c r="I104" s="813"/>
      <c r="J104" s="813"/>
      <c r="K104" s="813"/>
      <c r="L104" s="813"/>
      <c r="M104" s="813"/>
      <c r="N104" s="813"/>
      <c r="O104" s="813"/>
      <c r="P104" s="813"/>
      <c r="Q104" s="813"/>
      <c r="R104" s="813"/>
      <c r="S104" s="813"/>
      <c r="T104" s="813"/>
      <c r="U104" s="813"/>
      <c r="V104" s="813"/>
      <c r="W104" s="813"/>
      <c r="X104" s="813"/>
    </row>
    <row r="105" spans="1:24" hidden="1" x14ac:dyDescent="0.2">
      <c r="A105" s="813"/>
      <c r="B105" s="813"/>
      <c r="C105" s="813"/>
      <c r="D105" s="813"/>
      <c r="E105" s="813"/>
      <c r="F105" s="813"/>
      <c r="G105" s="813"/>
      <c r="H105" s="813"/>
      <c r="I105" s="813"/>
      <c r="J105" s="813"/>
      <c r="K105" s="813"/>
      <c r="L105" s="813"/>
      <c r="M105" s="813"/>
      <c r="N105" s="813"/>
      <c r="O105" s="813"/>
      <c r="P105" s="813"/>
      <c r="Q105" s="813"/>
      <c r="R105" s="813"/>
      <c r="S105" s="813"/>
      <c r="T105" s="813"/>
      <c r="U105" s="813"/>
      <c r="V105" s="813"/>
      <c r="W105" s="813"/>
      <c r="X105" s="813"/>
    </row>
    <row r="106" spans="1:24" hidden="1" x14ac:dyDescent="0.2">
      <c r="A106" s="813"/>
      <c r="B106" s="813"/>
      <c r="C106" s="813"/>
      <c r="D106" s="813"/>
      <c r="E106" s="813"/>
      <c r="F106" s="813"/>
      <c r="G106" s="813"/>
      <c r="H106" s="813"/>
      <c r="I106" s="813"/>
      <c r="J106" s="813"/>
      <c r="K106" s="813"/>
      <c r="L106" s="813"/>
      <c r="M106" s="813"/>
      <c r="N106" s="813"/>
      <c r="O106" s="813"/>
      <c r="P106" s="813"/>
      <c r="Q106" s="813"/>
      <c r="R106" s="813"/>
      <c r="S106" s="813"/>
      <c r="T106" s="813"/>
      <c r="U106" s="813"/>
      <c r="V106" s="813"/>
      <c r="W106" s="813"/>
      <c r="X106" s="813"/>
    </row>
    <row r="107" spans="1:24" hidden="1" x14ac:dyDescent="0.2">
      <c r="A107" s="813"/>
      <c r="B107" s="813"/>
      <c r="C107" s="813"/>
      <c r="D107" s="813"/>
      <c r="E107" s="813"/>
      <c r="F107" s="813"/>
      <c r="G107" s="813"/>
      <c r="H107" s="813"/>
      <c r="I107" s="813"/>
      <c r="J107" s="813"/>
      <c r="K107" s="813"/>
      <c r="L107" s="813"/>
      <c r="M107" s="813"/>
      <c r="N107" s="813"/>
      <c r="O107" s="813"/>
      <c r="P107" s="813"/>
      <c r="Q107" s="813"/>
      <c r="R107" s="813"/>
      <c r="S107" s="813"/>
      <c r="T107" s="813"/>
      <c r="U107" s="813"/>
      <c r="V107" s="813"/>
      <c r="W107" s="813"/>
      <c r="X107" s="813"/>
    </row>
    <row r="108" spans="1:24" hidden="1" x14ac:dyDescent="0.2">
      <c r="A108" s="813"/>
      <c r="B108" s="813"/>
      <c r="C108" s="813"/>
      <c r="D108" s="813"/>
      <c r="E108" s="813"/>
      <c r="F108" s="813"/>
      <c r="G108" s="813"/>
      <c r="H108" s="813"/>
      <c r="I108" s="813"/>
      <c r="J108" s="813"/>
      <c r="K108" s="813"/>
      <c r="L108" s="813"/>
      <c r="M108" s="813"/>
      <c r="N108" s="813"/>
      <c r="O108" s="813"/>
      <c r="P108" s="813"/>
      <c r="Q108" s="813"/>
      <c r="R108" s="813"/>
      <c r="S108" s="813"/>
      <c r="T108" s="813"/>
      <c r="U108" s="813"/>
      <c r="V108" s="813"/>
      <c r="W108" s="813"/>
      <c r="X108" s="813"/>
    </row>
    <row r="109" spans="1:24" hidden="1" x14ac:dyDescent="0.2">
      <c r="A109" s="813"/>
      <c r="B109" s="813"/>
      <c r="C109" s="813"/>
      <c r="D109" s="813"/>
      <c r="E109" s="813"/>
      <c r="F109" s="813"/>
      <c r="G109" s="813"/>
      <c r="H109" s="813"/>
      <c r="I109" s="813"/>
      <c r="J109" s="813"/>
      <c r="K109" s="813"/>
      <c r="L109" s="813"/>
      <c r="M109" s="813"/>
      <c r="N109" s="813"/>
      <c r="O109" s="813"/>
      <c r="P109" s="813"/>
      <c r="Q109" s="813"/>
      <c r="R109" s="813"/>
      <c r="S109" s="813"/>
      <c r="T109" s="813"/>
      <c r="U109" s="813"/>
      <c r="V109" s="813"/>
      <c r="W109" s="813"/>
      <c r="X109" s="813"/>
    </row>
    <row r="110" spans="1:24" hidden="1" x14ac:dyDescent="0.2">
      <c r="A110" s="813"/>
      <c r="B110" s="813"/>
      <c r="C110" s="813"/>
      <c r="D110" s="813"/>
      <c r="E110" s="813"/>
      <c r="F110" s="813"/>
      <c r="G110" s="813"/>
      <c r="H110" s="813"/>
      <c r="I110" s="813"/>
      <c r="J110" s="813"/>
      <c r="K110" s="813"/>
      <c r="L110" s="813"/>
      <c r="M110" s="813"/>
      <c r="N110" s="813"/>
      <c r="O110" s="813"/>
      <c r="P110" s="813"/>
      <c r="Q110" s="813"/>
      <c r="R110" s="813"/>
      <c r="S110" s="813"/>
      <c r="T110" s="813"/>
      <c r="U110" s="813"/>
      <c r="V110" s="813"/>
      <c r="W110" s="813"/>
      <c r="X110" s="813"/>
    </row>
    <row r="111" spans="1:24" hidden="1" x14ac:dyDescent="0.2">
      <c r="A111" s="813"/>
      <c r="B111" s="813"/>
      <c r="C111" s="813"/>
      <c r="D111" s="813"/>
      <c r="E111" s="813"/>
      <c r="F111" s="813"/>
      <c r="G111" s="813"/>
      <c r="H111" s="813"/>
      <c r="I111" s="813"/>
      <c r="J111" s="813"/>
      <c r="K111" s="813"/>
      <c r="L111" s="813"/>
      <c r="M111" s="813"/>
      <c r="N111" s="813"/>
      <c r="O111" s="813"/>
      <c r="P111" s="813"/>
      <c r="Q111" s="813"/>
      <c r="R111" s="813"/>
      <c r="S111" s="813"/>
      <c r="T111" s="813"/>
      <c r="U111" s="813"/>
      <c r="V111" s="813"/>
      <c r="W111" s="813"/>
      <c r="X111" s="813"/>
    </row>
    <row r="112" spans="1:24" hidden="1" x14ac:dyDescent="0.2">
      <c r="A112" s="813"/>
      <c r="B112" s="813"/>
      <c r="C112" s="813"/>
      <c r="D112" s="813"/>
      <c r="E112" s="813"/>
      <c r="F112" s="813"/>
      <c r="G112" s="813"/>
      <c r="H112" s="813"/>
      <c r="I112" s="813"/>
      <c r="J112" s="813"/>
      <c r="K112" s="813"/>
      <c r="L112" s="813"/>
      <c r="M112" s="813"/>
      <c r="N112" s="813"/>
      <c r="O112" s="813"/>
      <c r="P112" s="813"/>
      <c r="Q112" s="813"/>
      <c r="R112" s="813"/>
      <c r="S112" s="813"/>
      <c r="T112" s="813"/>
      <c r="U112" s="813"/>
      <c r="V112" s="813"/>
      <c r="W112" s="813"/>
      <c r="X112" s="813"/>
    </row>
    <row r="113" spans="1:24" hidden="1" x14ac:dyDescent="0.2">
      <c r="A113" s="813"/>
      <c r="B113" s="813"/>
      <c r="C113" s="813"/>
      <c r="D113" s="813"/>
      <c r="E113" s="813"/>
      <c r="F113" s="813"/>
      <c r="G113" s="813"/>
      <c r="H113" s="813"/>
      <c r="I113" s="813"/>
      <c r="J113" s="813"/>
      <c r="K113" s="813"/>
      <c r="L113" s="813"/>
      <c r="M113" s="813"/>
      <c r="N113" s="813"/>
      <c r="O113" s="813"/>
      <c r="P113" s="813"/>
      <c r="Q113" s="813"/>
      <c r="R113" s="813"/>
      <c r="S113" s="813"/>
      <c r="T113" s="813"/>
      <c r="U113" s="813"/>
      <c r="V113" s="813"/>
      <c r="W113" s="813"/>
      <c r="X113" s="813"/>
    </row>
    <row r="114" spans="1:24" hidden="1" x14ac:dyDescent="0.2">
      <c r="A114" s="813"/>
      <c r="B114" s="813"/>
      <c r="C114" s="813"/>
      <c r="D114" s="813"/>
      <c r="E114" s="813"/>
      <c r="F114" s="813"/>
      <c r="G114" s="813"/>
      <c r="H114" s="813"/>
      <c r="I114" s="813"/>
      <c r="J114" s="813"/>
      <c r="K114" s="813"/>
      <c r="L114" s="813"/>
      <c r="M114" s="813"/>
      <c r="N114" s="813"/>
      <c r="O114" s="813"/>
      <c r="P114" s="813"/>
      <c r="Q114" s="813"/>
      <c r="R114" s="813"/>
      <c r="S114" s="813"/>
      <c r="T114" s="813"/>
      <c r="U114" s="813"/>
      <c r="V114" s="813"/>
      <c r="W114" s="813"/>
      <c r="X114" s="813"/>
    </row>
    <row r="115" spans="1:24" hidden="1" x14ac:dyDescent="0.2">
      <c r="A115" s="813"/>
      <c r="B115" s="813"/>
      <c r="C115" s="813"/>
      <c r="D115" s="813"/>
      <c r="E115" s="813"/>
      <c r="F115" s="813"/>
      <c r="G115" s="813"/>
      <c r="H115" s="813"/>
      <c r="I115" s="813"/>
      <c r="J115" s="813"/>
      <c r="K115" s="813"/>
      <c r="L115" s="813"/>
      <c r="M115" s="813"/>
      <c r="N115" s="813"/>
      <c r="O115" s="813"/>
      <c r="P115" s="813"/>
      <c r="Q115" s="813"/>
      <c r="R115" s="813"/>
      <c r="S115" s="813"/>
      <c r="T115" s="813"/>
      <c r="U115" s="813"/>
      <c r="V115" s="813"/>
      <c r="W115" s="813"/>
      <c r="X115" s="813"/>
    </row>
    <row r="116" spans="1:24" hidden="1" x14ac:dyDescent="0.2">
      <c r="A116" s="813"/>
      <c r="B116" s="813"/>
      <c r="C116" s="813"/>
      <c r="D116" s="813"/>
      <c r="E116" s="813"/>
      <c r="F116" s="813"/>
      <c r="G116" s="813"/>
      <c r="H116" s="813"/>
      <c r="I116" s="813"/>
      <c r="J116" s="813"/>
      <c r="K116" s="813"/>
      <c r="L116" s="813"/>
      <c r="M116" s="813"/>
      <c r="N116" s="813"/>
      <c r="O116" s="813"/>
      <c r="P116" s="813"/>
      <c r="Q116" s="813"/>
      <c r="R116" s="813"/>
      <c r="S116" s="813"/>
      <c r="T116" s="813"/>
      <c r="U116" s="813"/>
      <c r="V116" s="813"/>
      <c r="W116" s="813"/>
      <c r="X116" s="813"/>
    </row>
    <row r="117" spans="1:24" hidden="1" x14ac:dyDescent="0.2">
      <c r="A117" s="813"/>
      <c r="B117" s="813"/>
      <c r="C117" s="813"/>
      <c r="D117" s="813"/>
      <c r="E117" s="813"/>
      <c r="F117" s="813"/>
      <c r="G117" s="813"/>
      <c r="H117" s="813"/>
      <c r="I117" s="813"/>
      <c r="J117" s="813"/>
      <c r="K117" s="813"/>
      <c r="L117" s="813"/>
      <c r="M117" s="813"/>
      <c r="N117" s="813"/>
      <c r="O117" s="813"/>
      <c r="P117" s="813"/>
      <c r="Q117" s="813"/>
      <c r="R117" s="813"/>
      <c r="S117" s="813"/>
      <c r="T117" s="813"/>
      <c r="U117" s="813"/>
      <c r="V117" s="813"/>
      <c r="W117" s="813"/>
      <c r="X117" s="813"/>
    </row>
    <row r="118" spans="1:24" hidden="1" x14ac:dyDescent="0.2">
      <c r="A118" s="813"/>
      <c r="B118" s="813"/>
      <c r="C118" s="813"/>
      <c r="D118" s="813"/>
      <c r="E118" s="813"/>
      <c r="F118" s="813"/>
      <c r="G118" s="813"/>
      <c r="H118" s="813"/>
      <c r="I118" s="813"/>
      <c r="J118" s="813"/>
      <c r="K118" s="813"/>
      <c r="L118" s="813"/>
      <c r="M118" s="813"/>
      <c r="N118" s="813"/>
      <c r="O118" s="813"/>
      <c r="P118" s="813"/>
      <c r="Q118" s="813"/>
      <c r="R118" s="813"/>
      <c r="S118" s="813"/>
      <c r="T118" s="813"/>
      <c r="U118" s="813"/>
      <c r="V118" s="813"/>
      <c r="W118" s="813"/>
      <c r="X118" s="813"/>
    </row>
    <row r="119" spans="1:24" hidden="1" x14ac:dyDescent="0.2">
      <c r="A119" s="813"/>
      <c r="B119" s="813"/>
      <c r="C119" s="813"/>
      <c r="D119" s="813"/>
      <c r="E119" s="813"/>
      <c r="F119" s="813"/>
      <c r="G119" s="813"/>
      <c r="H119" s="813"/>
      <c r="I119" s="813"/>
      <c r="J119" s="813"/>
      <c r="K119" s="813"/>
      <c r="L119" s="813"/>
      <c r="M119" s="813"/>
      <c r="N119" s="813"/>
      <c r="O119" s="813"/>
      <c r="P119" s="813"/>
      <c r="Q119" s="813"/>
      <c r="R119" s="813"/>
      <c r="S119" s="813"/>
      <c r="T119" s="813"/>
      <c r="U119" s="813"/>
      <c r="V119" s="813"/>
      <c r="W119" s="813"/>
      <c r="X119" s="813"/>
    </row>
    <row r="120" spans="1:24" hidden="1" x14ac:dyDescent="0.2">
      <c r="A120" s="813"/>
      <c r="B120" s="813"/>
      <c r="C120" s="813"/>
      <c r="D120" s="813"/>
      <c r="E120" s="813"/>
      <c r="F120" s="813"/>
      <c r="G120" s="813"/>
      <c r="H120" s="813"/>
      <c r="I120" s="813"/>
      <c r="J120" s="813"/>
      <c r="K120" s="813"/>
      <c r="L120" s="813"/>
      <c r="M120" s="813"/>
      <c r="N120" s="813"/>
      <c r="O120" s="813"/>
      <c r="P120" s="813"/>
      <c r="Q120" s="813"/>
      <c r="R120" s="813"/>
      <c r="S120" s="813"/>
      <c r="T120" s="813"/>
      <c r="U120" s="813"/>
      <c r="V120" s="813"/>
      <c r="W120" s="813"/>
      <c r="X120" s="813"/>
    </row>
    <row r="121" spans="1:24" hidden="1" x14ac:dyDescent="0.2">
      <c r="A121" s="813"/>
      <c r="B121" s="813"/>
      <c r="C121" s="813"/>
      <c r="D121" s="813"/>
      <c r="E121" s="813"/>
      <c r="F121" s="813"/>
      <c r="G121" s="813"/>
      <c r="H121" s="813"/>
      <c r="I121" s="813"/>
      <c r="J121" s="813"/>
      <c r="K121" s="813"/>
      <c r="L121" s="813"/>
      <c r="M121" s="813"/>
      <c r="N121" s="813"/>
      <c r="O121" s="813"/>
      <c r="P121" s="813"/>
      <c r="Q121" s="813"/>
      <c r="R121" s="813"/>
      <c r="S121" s="813"/>
      <c r="T121" s="813"/>
      <c r="U121" s="813"/>
      <c r="V121" s="813"/>
      <c r="W121" s="813"/>
      <c r="X121" s="813"/>
    </row>
    <row r="122" spans="1:24" hidden="1" x14ac:dyDescent="0.2">
      <c r="A122" s="813"/>
      <c r="B122" s="813"/>
      <c r="C122" s="813"/>
      <c r="D122" s="813"/>
      <c r="E122" s="813"/>
      <c r="F122" s="813"/>
      <c r="G122" s="813"/>
      <c r="H122" s="813"/>
      <c r="I122" s="813"/>
      <c r="J122" s="813"/>
      <c r="K122" s="813"/>
      <c r="L122" s="813"/>
      <c r="M122" s="813"/>
      <c r="N122" s="813"/>
      <c r="O122" s="813"/>
      <c r="P122" s="813"/>
      <c r="Q122" s="813"/>
      <c r="R122" s="813"/>
      <c r="S122" s="813"/>
      <c r="T122" s="813"/>
      <c r="U122" s="813"/>
      <c r="V122" s="813"/>
      <c r="W122" s="813"/>
      <c r="X122" s="813"/>
    </row>
    <row r="123" spans="1:24" hidden="1" x14ac:dyDescent="0.2">
      <c r="A123" s="813"/>
      <c r="B123" s="813"/>
      <c r="C123" s="813"/>
      <c r="D123" s="813"/>
      <c r="E123" s="813"/>
      <c r="F123" s="813"/>
      <c r="G123" s="813"/>
      <c r="H123" s="813"/>
      <c r="I123" s="813"/>
      <c r="J123" s="813"/>
      <c r="K123" s="813"/>
      <c r="L123" s="813"/>
      <c r="M123" s="813"/>
      <c r="N123" s="813"/>
      <c r="O123" s="813"/>
      <c r="P123" s="813"/>
      <c r="Q123" s="813"/>
      <c r="R123" s="813"/>
      <c r="S123" s="813"/>
      <c r="T123" s="813"/>
      <c r="U123" s="813"/>
      <c r="V123" s="813"/>
      <c r="W123" s="813"/>
      <c r="X123" s="813"/>
    </row>
    <row r="124" spans="1:24" hidden="1" x14ac:dyDescent="0.2">
      <c r="A124" s="813"/>
      <c r="B124" s="813"/>
      <c r="C124" s="813"/>
      <c r="D124" s="813"/>
      <c r="E124" s="813"/>
      <c r="F124" s="813"/>
      <c r="G124" s="813"/>
      <c r="H124" s="813"/>
      <c r="I124" s="813"/>
      <c r="J124" s="813"/>
      <c r="K124" s="813"/>
      <c r="L124" s="813"/>
      <c r="M124" s="813"/>
      <c r="N124" s="813"/>
      <c r="O124" s="813"/>
      <c r="P124" s="813"/>
      <c r="Q124" s="813"/>
      <c r="R124" s="813"/>
      <c r="S124" s="813"/>
      <c r="T124" s="813"/>
      <c r="U124" s="813"/>
      <c r="V124" s="813"/>
      <c r="W124" s="813"/>
      <c r="X124" s="813"/>
    </row>
    <row r="125" spans="1:24" hidden="1" x14ac:dyDescent="0.2">
      <c r="A125" s="813"/>
      <c r="B125" s="813"/>
      <c r="C125" s="813"/>
      <c r="D125" s="813"/>
      <c r="E125" s="813"/>
      <c r="F125" s="813"/>
      <c r="G125" s="813"/>
      <c r="H125" s="813"/>
      <c r="I125" s="813"/>
      <c r="J125" s="813"/>
      <c r="K125" s="813"/>
      <c r="L125" s="813"/>
      <c r="M125" s="813"/>
      <c r="N125" s="813"/>
      <c r="O125" s="813"/>
      <c r="P125" s="813"/>
      <c r="Q125" s="813"/>
      <c r="R125" s="813"/>
      <c r="S125" s="813"/>
      <c r="T125" s="813"/>
      <c r="U125" s="813"/>
      <c r="V125" s="813"/>
      <c r="W125" s="813"/>
      <c r="X125" s="813"/>
    </row>
    <row r="126" spans="1:24" hidden="1" x14ac:dyDescent="0.2">
      <c r="A126" s="813"/>
      <c r="B126" s="813"/>
      <c r="C126" s="813"/>
      <c r="D126" s="813"/>
      <c r="E126" s="813"/>
      <c r="F126" s="813"/>
      <c r="G126" s="813"/>
      <c r="H126" s="813"/>
      <c r="I126" s="813"/>
      <c r="J126" s="813"/>
      <c r="K126" s="813"/>
      <c r="L126" s="813"/>
      <c r="M126" s="813"/>
      <c r="N126" s="813"/>
      <c r="O126" s="813"/>
      <c r="P126" s="813"/>
      <c r="Q126" s="813"/>
      <c r="R126" s="813"/>
      <c r="S126" s="813"/>
      <c r="T126" s="813"/>
      <c r="U126" s="813"/>
      <c r="V126" s="813"/>
      <c r="W126" s="813"/>
      <c r="X126" s="813"/>
    </row>
    <row r="127" spans="1:24" hidden="1" x14ac:dyDescent="0.2">
      <c r="A127" s="813"/>
      <c r="B127" s="813"/>
      <c r="C127" s="813"/>
      <c r="D127" s="813"/>
      <c r="E127" s="813"/>
      <c r="F127" s="813"/>
      <c r="G127" s="813"/>
      <c r="H127" s="813"/>
      <c r="I127" s="813"/>
      <c r="J127" s="813"/>
      <c r="K127" s="813"/>
      <c r="L127" s="813"/>
      <c r="M127" s="813"/>
      <c r="N127" s="813"/>
      <c r="O127" s="813"/>
      <c r="P127" s="813"/>
      <c r="Q127" s="813"/>
      <c r="R127" s="813"/>
      <c r="S127" s="813"/>
      <c r="T127" s="813"/>
      <c r="U127" s="813"/>
      <c r="V127" s="813"/>
      <c r="W127" s="813"/>
      <c r="X127" s="813"/>
    </row>
    <row r="128" spans="1:24" hidden="1" x14ac:dyDescent="0.2">
      <c r="A128" s="813"/>
      <c r="B128" s="813"/>
      <c r="C128" s="813"/>
      <c r="D128" s="813"/>
      <c r="E128" s="813"/>
      <c r="F128" s="813"/>
      <c r="G128" s="813"/>
      <c r="H128" s="813"/>
      <c r="I128" s="813"/>
      <c r="J128" s="813"/>
      <c r="K128" s="813"/>
      <c r="L128" s="813"/>
      <c r="M128" s="813"/>
      <c r="N128" s="813"/>
      <c r="O128" s="813"/>
      <c r="P128" s="813"/>
      <c r="Q128" s="813"/>
      <c r="R128" s="813"/>
      <c r="S128" s="813"/>
      <c r="T128" s="813"/>
      <c r="U128" s="813"/>
      <c r="V128" s="813"/>
      <c r="W128" s="813"/>
      <c r="X128" s="813"/>
    </row>
    <row r="129" spans="1:24" hidden="1" x14ac:dyDescent="0.2">
      <c r="A129" s="813"/>
      <c r="B129" s="813"/>
      <c r="C129" s="813"/>
      <c r="D129" s="813"/>
      <c r="E129" s="813"/>
      <c r="F129" s="813"/>
      <c r="G129" s="813"/>
      <c r="H129" s="813"/>
      <c r="I129" s="813"/>
      <c r="J129" s="813"/>
      <c r="K129" s="813"/>
      <c r="L129" s="813"/>
      <c r="M129" s="813"/>
      <c r="N129" s="813"/>
      <c r="O129" s="813"/>
      <c r="P129" s="813"/>
      <c r="Q129" s="813"/>
      <c r="R129" s="813"/>
      <c r="S129" s="813"/>
      <c r="T129" s="813"/>
      <c r="U129" s="813"/>
      <c r="V129" s="813"/>
      <c r="W129" s="813"/>
      <c r="X129" s="813"/>
    </row>
    <row r="130" spans="1:24" hidden="1" x14ac:dyDescent="0.2">
      <c r="A130" s="813"/>
      <c r="B130" s="813"/>
      <c r="C130" s="813"/>
      <c r="D130" s="813"/>
      <c r="E130" s="813"/>
      <c r="F130" s="813"/>
      <c r="G130" s="813"/>
      <c r="H130" s="813"/>
      <c r="I130" s="813"/>
      <c r="J130" s="813"/>
      <c r="K130" s="813"/>
      <c r="L130" s="813"/>
      <c r="M130" s="813"/>
      <c r="N130" s="813"/>
      <c r="O130" s="813"/>
      <c r="P130" s="813"/>
      <c r="Q130" s="813"/>
      <c r="R130" s="813"/>
      <c r="S130" s="813"/>
      <c r="T130" s="813"/>
      <c r="U130" s="813"/>
      <c r="V130" s="813"/>
      <c r="W130" s="813"/>
      <c r="X130" s="813"/>
    </row>
    <row r="131" spans="1:24" hidden="1" x14ac:dyDescent="0.2">
      <c r="A131" s="813"/>
      <c r="B131" s="813"/>
      <c r="C131" s="813"/>
      <c r="D131" s="813"/>
      <c r="E131" s="813"/>
      <c r="F131" s="813"/>
      <c r="G131" s="813"/>
      <c r="H131" s="813"/>
      <c r="I131" s="813"/>
      <c r="J131" s="813"/>
      <c r="K131" s="813"/>
      <c r="L131" s="813"/>
      <c r="M131" s="813"/>
      <c r="N131" s="813"/>
      <c r="O131" s="813"/>
      <c r="P131" s="813"/>
      <c r="Q131" s="813"/>
      <c r="R131" s="813"/>
      <c r="S131" s="813"/>
      <c r="T131" s="813"/>
      <c r="U131" s="813"/>
      <c r="V131" s="813"/>
      <c r="W131" s="813"/>
      <c r="X131" s="813"/>
    </row>
    <row r="132" spans="1:24" hidden="1" x14ac:dyDescent="0.2">
      <c r="A132" s="813"/>
      <c r="B132" s="813"/>
      <c r="C132" s="813"/>
      <c r="D132" s="813"/>
      <c r="E132" s="813"/>
      <c r="F132" s="813"/>
      <c r="G132" s="813"/>
      <c r="H132" s="813"/>
      <c r="I132" s="813"/>
      <c r="J132" s="813"/>
      <c r="K132" s="813"/>
      <c r="L132" s="813"/>
      <c r="M132" s="813"/>
      <c r="N132" s="813"/>
      <c r="O132" s="813"/>
      <c r="P132" s="813"/>
      <c r="Q132" s="813"/>
      <c r="R132" s="813"/>
      <c r="S132" s="813"/>
      <c r="T132" s="813"/>
      <c r="U132" s="813"/>
      <c r="V132" s="813"/>
      <c r="W132" s="813"/>
      <c r="X132" s="813"/>
    </row>
    <row r="133" spans="1:24" hidden="1" x14ac:dyDescent="0.2">
      <c r="A133" s="813"/>
      <c r="B133" s="813"/>
      <c r="C133" s="813"/>
      <c r="D133" s="813"/>
      <c r="E133" s="813"/>
      <c r="F133" s="813"/>
      <c r="G133" s="813"/>
      <c r="H133" s="813"/>
      <c r="I133" s="813"/>
      <c r="J133" s="813"/>
      <c r="K133" s="813"/>
      <c r="L133" s="813"/>
      <c r="M133" s="813"/>
      <c r="N133" s="813"/>
      <c r="O133" s="813"/>
      <c r="P133" s="813"/>
      <c r="Q133" s="813"/>
      <c r="R133" s="813"/>
      <c r="S133" s="813"/>
      <c r="T133" s="813"/>
      <c r="U133" s="813"/>
      <c r="V133" s="813"/>
      <c r="W133" s="813"/>
      <c r="X133" s="813"/>
    </row>
    <row r="134" spans="1:24" hidden="1" x14ac:dyDescent="0.2">
      <c r="A134" s="813"/>
      <c r="B134" s="813"/>
      <c r="C134" s="813"/>
      <c r="D134" s="813"/>
      <c r="E134" s="813"/>
      <c r="F134" s="813"/>
      <c r="G134" s="813"/>
      <c r="H134" s="813"/>
      <c r="I134" s="813"/>
      <c r="J134" s="813"/>
      <c r="K134" s="813"/>
      <c r="L134" s="813"/>
      <c r="M134" s="813"/>
      <c r="N134" s="813"/>
      <c r="O134" s="813"/>
      <c r="P134" s="813"/>
      <c r="Q134" s="813"/>
      <c r="R134" s="813"/>
      <c r="S134" s="813"/>
      <c r="T134" s="813"/>
      <c r="U134" s="813"/>
      <c r="V134" s="813"/>
      <c r="W134" s="813"/>
      <c r="X134" s="813"/>
    </row>
    <row r="135" spans="1:24" hidden="1" x14ac:dyDescent="0.2">
      <c r="A135" s="813"/>
      <c r="B135" s="813"/>
      <c r="C135" s="813"/>
      <c r="D135" s="813"/>
      <c r="E135" s="813"/>
      <c r="F135" s="813"/>
      <c r="G135" s="813"/>
      <c r="H135" s="813"/>
      <c r="I135" s="813"/>
      <c r="J135" s="813"/>
      <c r="K135" s="813"/>
      <c r="L135" s="813"/>
      <c r="M135" s="813"/>
      <c r="N135" s="813"/>
      <c r="O135" s="813"/>
      <c r="P135" s="813"/>
      <c r="Q135" s="813"/>
      <c r="R135" s="813"/>
      <c r="S135" s="813"/>
      <c r="T135" s="813"/>
      <c r="U135" s="813"/>
      <c r="V135" s="813"/>
      <c r="W135" s="813"/>
      <c r="X135" s="813"/>
    </row>
    <row r="136" spans="1:24" hidden="1" x14ac:dyDescent="0.2">
      <c r="A136" s="813"/>
      <c r="B136" s="813"/>
      <c r="C136" s="813"/>
      <c r="D136" s="813"/>
      <c r="E136" s="813"/>
      <c r="F136" s="813"/>
      <c r="G136" s="813"/>
      <c r="H136" s="813"/>
      <c r="I136" s="813"/>
      <c r="J136" s="813"/>
      <c r="K136" s="813"/>
      <c r="L136" s="813"/>
      <c r="M136" s="813"/>
      <c r="N136" s="813"/>
      <c r="O136" s="813"/>
      <c r="P136" s="813"/>
      <c r="Q136" s="813"/>
      <c r="R136" s="813"/>
      <c r="S136" s="813"/>
      <c r="T136" s="813"/>
      <c r="U136" s="813"/>
      <c r="V136" s="813"/>
      <c r="W136" s="813"/>
      <c r="X136" s="813"/>
    </row>
    <row r="137" spans="1:24" hidden="1" x14ac:dyDescent="0.2">
      <c r="A137" s="813"/>
      <c r="B137" s="813"/>
      <c r="C137" s="813"/>
      <c r="D137" s="813"/>
      <c r="E137" s="813"/>
      <c r="F137" s="813"/>
      <c r="G137" s="813"/>
      <c r="H137" s="813"/>
      <c r="I137" s="813"/>
      <c r="J137" s="813"/>
      <c r="K137" s="813"/>
      <c r="L137" s="813"/>
      <c r="M137" s="813"/>
      <c r="N137" s="813"/>
      <c r="O137" s="813"/>
      <c r="P137" s="813"/>
      <c r="Q137" s="813"/>
      <c r="R137" s="813"/>
      <c r="S137" s="813"/>
      <c r="T137" s="813"/>
      <c r="U137" s="813"/>
      <c r="V137" s="813"/>
      <c r="W137" s="813"/>
      <c r="X137" s="813"/>
    </row>
    <row r="138" spans="1:24" hidden="1" x14ac:dyDescent="0.2">
      <c r="A138" s="813"/>
      <c r="B138" s="813"/>
      <c r="C138" s="813"/>
      <c r="D138" s="813"/>
      <c r="E138" s="813"/>
      <c r="F138" s="813"/>
      <c r="G138" s="813"/>
      <c r="H138" s="813"/>
      <c r="I138" s="813"/>
      <c r="J138" s="813"/>
      <c r="K138" s="813"/>
      <c r="L138" s="813"/>
      <c r="M138" s="813"/>
      <c r="N138" s="813"/>
      <c r="O138" s="813"/>
      <c r="P138" s="813"/>
      <c r="Q138" s="813"/>
      <c r="R138" s="813"/>
      <c r="S138" s="813"/>
      <c r="T138" s="813"/>
      <c r="U138" s="813"/>
      <c r="V138" s="813"/>
      <c r="W138" s="813"/>
      <c r="X138" s="813"/>
    </row>
    <row r="139" spans="1:24" hidden="1" x14ac:dyDescent="0.2">
      <c r="A139" s="813"/>
      <c r="B139" s="813"/>
      <c r="C139" s="813"/>
      <c r="D139" s="813"/>
      <c r="E139" s="813"/>
      <c r="F139" s="813"/>
      <c r="G139" s="813"/>
      <c r="H139" s="813"/>
      <c r="I139" s="813"/>
      <c r="J139" s="813"/>
      <c r="K139" s="813"/>
      <c r="L139" s="813"/>
      <c r="M139" s="813"/>
      <c r="N139" s="813"/>
      <c r="O139" s="813"/>
      <c r="P139" s="813"/>
      <c r="Q139" s="813"/>
      <c r="R139" s="813"/>
      <c r="S139" s="813"/>
      <c r="T139" s="813"/>
      <c r="U139" s="813"/>
      <c r="V139" s="813"/>
      <c r="W139" s="813"/>
      <c r="X139" s="813"/>
    </row>
    <row r="140" spans="1:24" hidden="1" x14ac:dyDescent="0.2">
      <c r="A140" s="813"/>
      <c r="B140" s="813"/>
      <c r="C140" s="813"/>
      <c r="D140" s="813"/>
      <c r="E140" s="813"/>
      <c r="F140" s="813"/>
      <c r="G140" s="813"/>
      <c r="H140" s="813"/>
      <c r="I140" s="813"/>
      <c r="J140" s="813"/>
      <c r="K140" s="813"/>
      <c r="L140" s="813"/>
      <c r="M140" s="813"/>
      <c r="N140" s="813"/>
      <c r="O140" s="813"/>
      <c r="P140" s="813"/>
      <c r="Q140" s="813"/>
      <c r="R140" s="813"/>
      <c r="S140" s="813"/>
      <c r="T140" s="813"/>
      <c r="U140" s="813"/>
      <c r="V140" s="813"/>
      <c r="W140" s="813"/>
      <c r="X140" s="813"/>
    </row>
    <row r="141" spans="1:24" hidden="1" x14ac:dyDescent="0.2">
      <c r="A141" s="813"/>
      <c r="B141" s="813"/>
      <c r="C141" s="813"/>
      <c r="D141" s="813"/>
      <c r="E141" s="813"/>
      <c r="F141" s="813"/>
      <c r="G141" s="813"/>
      <c r="H141" s="813"/>
      <c r="I141" s="813"/>
      <c r="J141" s="813"/>
      <c r="K141" s="813"/>
      <c r="L141" s="813"/>
      <c r="M141" s="813"/>
      <c r="N141" s="813"/>
      <c r="O141" s="813"/>
      <c r="P141" s="813"/>
      <c r="Q141" s="813"/>
      <c r="R141" s="813"/>
      <c r="S141" s="813"/>
      <c r="T141" s="813"/>
      <c r="U141" s="813"/>
      <c r="V141" s="813"/>
      <c r="W141" s="813"/>
      <c r="X141" s="813"/>
    </row>
    <row r="142" spans="1:24" hidden="1" x14ac:dyDescent="0.2">
      <c r="A142" s="813"/>
      <c r="B142" s="813"/>
      <c r="C142" s="813"/>
      <c r="D142" s="813"/>
      <c r="E142" s="813"/>
      <c r="F142" s="813"/>
      <c r="G142" s="813"/>
      <c r="H142" s="813"/>
      <c r="I142" s="813"/>
      <c r="J142" s="813"/>
      <c r="K142" s="813"/>
      <c r="L142" s="813"/>
      <c r="M142" s="813"/>
      <c r="N142" s="813"/>
      <c r="O142" s="813"/>
      <c r="P142" s="813"/>
      <c r="Q142" s="813"/>
      <c r="R142" s="813"/>
      <c r="S142" s="813"/>
      <c r="T142" s="813"/>
      <c r="U142" s="813"/>
      <c r="V142" s="813"/>
      <c r="W142" s="813"/>
      <c r="X142" s="813"/>
    </row>
    <row r="143" spans="1:24" hidden="1" x14ac:dyDescent="0.2">
      <c r="A143" s="813"/>
      <c r="B143" s="813"/>
      <c r="C143" s="813"/>
      <c r="D143" s="813"/>
      <c r="E143" s="813"/>
      <c r="F143" s="813"/>
      <c r="G143" s="813"/>
      <c r="H143" s="813"/>
      <c r="I143" s="813"/>
      <c r="J143" s="813"/>
      <c r="K143" s="813"/>
      <c r="L143" s="813"/>
      <c r="M143" s="813"/>
      <c r="N143" s="813"/>
      <c r="O143" s="813"/>
      <c r="P143" s="813"/>
      <c r="Q143" s="813"/>
      <c r="R143" s="813"/>
      <c r="S143" s="813"/>
      <c r="T143" s="813"/>
      <c r="U143" s="813"/>
      <c r="V143" s="813"/>
      <c r="W143" s="813"/>
      <c r="X143" s="813"/>
    </row>
    <row r="144" spans="1:24" hidden="1" x14ac:dyDescent="0.2">
      <c r="A144" s="813"/>
      <c r="B144" s="813"/>
      <c r="C144" s="813"/>
      <c r="D144" s="813"/>
      <c r="E144" s="813"/>
      <c r="F144" s="813"/>
      <c r="G144" s="813"/>
      <c r="H144" s="813"/>
      <c r="I144" s="813"/>
      <c r="J144" s="813"/>
      <c r="K144" s="813"/>
      <c r="L144" s="813"/>
      <c r="M144" s="813"/>
      <c r="N144" s="813"/>
      <c r="O144" s="813"/>
      <c r="P144" s="813"/>
      <c r="Q144" s="813"/>
      <c r="R144" s="813"/>
      <c r="S144" s="813"/>
      <c r="T144" s="813"/>
      <c r="U144" s="813"/>
      <c r="V144" s="813"/>
      <c r="W144" s="813"/>
      <c r="X144" s="813"/>
    </row>
    <row r="145" spans="1:24" hidden="1" x14ac:dyDescent="0.2">
      <c r="A145" s="813"/>
      <c r="B145" s="813"/>
      <c r="C145" s="813"/>
      <c r="D145" s="813"/>
      <c r="E145" s="813"/>
      <c r="F145" s="813"/>
      <c r="G145" s="813"/>
      <c r="H145" s="813"/>
      <c r="I145" s="813"/>
      <c r="J145" s="813"/>
      <c r="K145" s="813"/>
      <c r="L145" s="813"/>
      <c r="M145" s="813"/>
      <c r="N145" s="813"/>
      <c r="O145" s="813"/>
      <c r="P145" s="813"/>
      <c r="Q145" s="813"/>
      <c r="R145" s="813"/>
      <c r="S145" s="813"/>
      <c r="T145" s="813"/>
      <c r="U145" s="813"/>
      <c r="V145" s="813"/>
      <c r="W145" s="813"/>
      <c r="X145" s="813"/>
    </row>
    <row r="146" spans="1:24" hidden="1" x14ac:dyDescent="0.2">
      <c r="A146" s="813"/>
      <c r="B146" s="813"/>
      <c r="C146" s="813"/>
      <c r="D146" s="813"/>
      <c r="E146" s="813"/>
      <c r="F146" s="813"/>
      <c r="G146" s="813"/>
      <c r="H146" s="813"/>
      <c r="I146" s="813"/>
      <c r="J146" s="813"/>
      <c r="K146" s="813"/>
      <c r="L146" s="813"/>
      <c r="M146" s="813"/>
      <c r="N146" s="813"/>
      <c r="O146" s="813"/>
      <c r="P146" s="813"/>
      <c r="Q146" s="813"/>
      <c r="R146" s="813"/>
      <c r="S146" s="813"/>
      <c r="T146" s="813"/>
      <c r="U146" s="813"/>
      <c r="V146" s="813"/>
      <c r="W146" s="813"/>
      <c r="X146" s="813"/>
    </row>
    <row r="147" spans="1:24" hidden="1" x14ac:dyDescent="0.2">
      <c r="A147" s="813"/>
      <c r="B147" s="813"/>
      <c r="C147" s="813"/>
      <c r="D147" s="813"/>
      <c r="E147" s="813"/>
      <c r="F147" s="813"/>
      <c r="G147" s="813"/>
      <c r="H147" s="813"/>
      <c r="I147" s="813"/>
      <c r="J147" s="813"/>
      <c r="K147" s="813"/>
      <c r="L147" s="813"/>
      <c r="M147" s="813"/>
      <c r="N147" s="813"/>
      <c r="O147" s="813"/>
      <c r="P147" s="813"/>
      <c r="Q147" s="813"/>
      <c r="R147" s="813"/>
      <c r="S147" s="813"/>
      <c r="T147" s="813"/>
      <c r="U147" s="813"/>
      <c r="V147" s="813"/>
      <c r="W147" s="813"/>
      <c r="X147" s="813"/>
    </row>
    <row r="148" spans="1:24" hidden="1" x14ac:dyDescent="0.2">
      <c r="A148" s="813"/>
      <c r="B148" s="813"/>
      <c r="C148" s="813"/>
      <c r="D148" s="813"/>
      <c r="E148" s="813"/>
      <c r="F148" s="813"/>
      <c r="G148" s="813"/>
      <c r="H148" s="813"/>
      <c r="I148" s="813"/>
      <c r="J148" s="813"/>
      <c r="K148" s="813"/>
      <c r="L148" s="813"/>
      <c r="M148" s="813"/>
      <c r="N148" s="813"/>
      <c r="O148" s="813"/>
      <c r="P148" s="813"/>
      <c r="Q148" s="813"/>
      <c r="R148" s="813"/>
      <c r="S148" s="813"/>
      <c r="T148" s="813"/>
      <c r="U148" s="813"/>
      <c r="V148" s="813"/>
      <c r="W148" s="813"/>
      <c r="X148" s="813"/>
    </row>
    <row r="149" spans="1:24" hidden="1" x14ac:dyDescent="0.2">
      <c r="A149" s="813"/>
      <c r="B149" s="813"/>
      <c r="C149" s="813"/>
      <c r="D149" s="813"/>
      <c r="E149" s="813"/>
      <c r="F149" s="813"/>
      <c r="G149" s="813"/>
      <c r="H149" s="813"/>
      <c r="I149" s="813"/>
      <c r="J149" s="813"/>
      <c r="K149" s="813"/>
      <c r="L149" s="813"/>
      <c r="M149" s="813"/>
      <c r="N149" s="813"/>
      <c r="O149" s="813"/>
      <c r="P149" s="813"/>
      <c r="Q149" s="813"/>
      <c r="R149" s="813"/>
      <c r="S149" s="813"/>
      <c r="T149" s="813"/>
      <c r="U149" s="813"/>
      <c r="V149" s="813"/>
      <c r="W149" s="813"/>
      <c r="X149" s="813"/>
    </row>
    <row r="150" spans="1:24" hidden="1" x14ac:dyDescent="0.2">
      <c r="A150" s="813"/>
      <c r="B150" s="813"/>
      <c r="C150" s="813"/>
      <c r="D150" s="813"/>
      <c r="E150" s="813"/>
      <c r="F150" s="813"/>
      <c r="G150" s="813"/>
      <c r="H150" s="813"/>
      <c r="I150" s="813"/>
      <c r="J150" s="813"/>
      <c r="K150" s="813"/>
      <c r="L150" s="813"/>
      <c r="M150" s="813"/>
      <c r="N150" s="813"/>
      <c r="O150" s="813"/>
      <c r="P150" s="813"/>
      <c r="Q150" s="813"/>
      <c r="R150" s="813"/>
      <c r="S150" s="813"/>
      <c r="T150" s="813"/>
      <c r="U150" s="813"/>
      <c r="V150" s="813"/>
      <c r="W150" s="813"/>
      <c r="X150" s="813"/>
    </row>
    <row r="151" spans="1:24" hidden="1" x14ac:dyDescent="0.2">
      <c r="A151" s="813"/>
      <c r="B151" s="813"/>
      <c r="C151" s="813"/>
      <c r="D151" s="813"/>
      <c r="E151" s="813"/>
      <c r="F151" s="813"/>
      <c r="G151" s="813"/>
      <c r="H151" s="813"/>
      <c r="I151" s="813"/>
      <c r="J151" s="813"/>
      <c r="K151" s="813"/>
      <c r="L151" s="813"/>
      <c r="M151" s="813"/>
      <c r="N151" s="813"/>
      <c r="O151" s="813"/>
      <c r="P151" s="813"/>
      <c r="Q151" s="813"/>
      <c r="R151" s="813"/>
      <c r="S151" s="813"/>
      <c r="T151" s="813"/>
      <c r="U151" s="813"/>
      <c r="V151" s="813"/>
      <c r="W151" s="813"/>
      <c r="X151" s="813"/>
    </row>
    <row r="152" spans="1:24" hidden="1" x14ac:dyDescent="0.2">
      <c r="A152" s="813"/>
      <c r="B152" s="813"/>
      <c r="C152" s="813"/>
      <c r="D152" s="813"/>
      <c r="E152" s="813"/>
      <c r="F152" s="813"/>
      <c r="G152" s="813"/>
      <c r="H152" s="813"/>
      <c r="I152" s="813"/>
      <c r="J152" s="813"/>
      <c r="K152" s="813"/>
      <c r="L152" s="813"/>
      <c r="M152" s="813"/>
      <c r="N152" s="813"/>
      <c r="O152" s="813"/>
      <c r="P152" s="813"/>
      <c r="Q152" s="813"/>
      <c r="R152" s="813"/>
      <c r="S152" s="813"/>
      <c r="T152" s="813"/>
      <c r="U152" s="813"/>
      <c r="V152" s="813"/>
      <c r="W152" s="813"/>
      <c r="X152" s="813"/>
    </row>
    <row r="153" spans="1:24" hidden="1" x14ac:dyDescent="0.2">
      <c r="A153" s="813"/>
      <c r="B153" s="813"/>
      <c r="C153" s="813"/>
      <c r="D153" s="813"/>
      <c r="E153" s="813"/>
      <c r="F153" s="813"/>
      <c r="G153" s="813"/>
      <c r="H153" s="813"/>
      <c r="I153" s="813"/>
      <c r="J153" s="813"/>
      <c r="K153" s="813"/>
      <c r="L153" s="813"/>
      <c r="M153" s="813"/>
      <c r="N153" s="813"/>
      <c r="O153" s="813"/>
      <c r="P153" s="813"/>
      <c r="Q153" s="813"/>
      <c r="R153" s="813"/>
      <c r="S153" s="813"/>
      <c r="T153" s="813"/>
      <c r="U153" s="813"/>
      <c r="V153" s="813"/>
      <c r="W153" s="813"/>
      <c r="X153" s="813"/>
    </row>
    <row r="154" spans="1:24" hidden="1" x14ac:dyDescent="0.2">
      <c r="A154" s="813"/>
      <c r="B154" s="813"/>
      <c r="C154" s="813"/>
      <c r="D154" s="813"/>
      <c r="E154" s="813"/>
      <c r="F154" s="813"/>
      <c r="G154" s="813"/>
      <c r="H154" s="813"/>
      <c r="I154" s="813"/>
      <c r="J154" s="813"/>
      <c r="K154" s="813"/>
      <c r="L154" s="813"/>
      <c r="M154" s="813"/>
      <c r="N154" s="813"/>
      <c r="O154" s="813"/>
      <c r="P154" s="813"/>
      <c r="Q154" s="813"/>
      <c r="R154" s="813"/>
      <c r="S154" s="813"/>
      <c r="T154" s="813"/>
      <c r="U154" s="813"/>
      <c r="V154" s="813"/>
      <c r="W154" s="813"/>
      <c r="X154" s="813"/>
    </row>
    <row r="155" spans="1:24" hidden="1" x14ac:dyDescent="0.2">
      <c r="A155" s="813"/>
      <c r="B155" s="813"/>
      <c r="C155" s="813"/>
      <c r="D155" s="813"/>
      <c r="E155" s="813"/>
      <c r="F155" s="813"/>
      <c r="G155" s="813"/>
      <c r="H155" s="813"/>
      <c r="I155" s="813"/>
      <c r="J155" s="813"/>
      <c r="K155" s="813"/>
      <c r="L155" s="813"/>
      <c r="M155" s="813"/>
      <c r="N155" s="813"/>
      <c r="O155" s="813"/>
      <c r="P155" s="813"/>
      <c r="Q155" s="813"/>
      <c r="R155" s="813"/>
      <c r="S155" s="813"/>
      <c r="T155" s="813"/>
      <c r="U155" s="813"/>
      <c r="V155" s="813"/>
      <c r="W155" s="813"/>
      <c r="X155" s="813"/>
    </row>
    <row r="156" spans="1:24" hidden="1" x14ac:dyDescent="0.2">
      <c r="A156" s="813"/>
      <c r="B156" s="813"/>
      <c r="C156" s="813"/>
      <c r="D156" s="813"/>
      <c r="E156" s="813"/>
      <c r="F156" s="813"/>
      <c r="G156" s="813"/>
      <c r="H156" s="813"/>
      <c r="I156" s="813"/>
      <c r="J156" s="813"/>
      <c r="K156" s="813"/>
      <c r="L156" s="813"/>
      <c r="M156" s="813"/>
      <c r="N156" s="813"/>
      <c r="O156" s="813"/>
      <c r="P156" s="813"/>
      <c r="Q156" s="813"/>
      <c r="R156" s="813"/>
      <c r="S156" s="813"/>
      <c r="T156" s="813"/>
      <c r="U156" s="813"/>
      <c r="V156" s="813"/>
      <c r="W156" s="813"/>
      <c r="X156" s="813"/>
    </row>
    <row r="157" spans="1:24" hidden="1" x14ac:dyDescent="0.2">
      <c r="A157" s="813"/>
      <c r="B157" s="813"/>
      <c r="C157" s="813"/>
      <c r="D157" s="813"/>
      <c r="E157" s="813"/>
      <c r="F157" s="813"/>
      <c r="G157" s="813"/>
      <c r="H157" s="813"/>
      <c r="I157" s="813"/>
      <c r="J157" s="813"/>
      <c r="K157" s="813"/>
      <c r="L157" s="813"/>
      <c r="M157" s="813"/>
      <c r="N157" s="813"/>
      <c r="O157" s="813"/>
      <c r="P157" s="813"/>
      <c r="Q157" s="813"/>
      <c r="R157" s="813"/>
      <c r="S157" s="813"/>
      <c r="T157" s="813"/>
      <c r="U157" s="813"/>
      <c r="V157" s="813"/>
      <c r="W157" s="813"/>
      <c r="X157" s="813"/>
    </row>
    <row r="158" spans="1:24" hidden="1" x14ac:dyDescent="0.2">
      <c r="A158" s="813"/>
      <c r="B158" s="813"/>
      <c r="C158" s="813"/>
      <c r="D158" s="813"/>
      <c r="E158" s="813"/>
      <c r="F158" s="813"/>
      <c r="G158" s="813"/>
      <c r="H158" s="813"/>
      <c r="I158" s="813"/>
      <c r="J158" s="813"/>
      <c r="K158" s="813"/>
      <c r="L158" s="813"/>
      <c r="M158" s="813"/>
      <c r="N158" s="813"/>
      <c r="O158" s="813"/>
      <c r="P158" s="813"/>
      <c r="Q158" s="813"/>
      <c r="R158" s="813"/>
      <c r="S158" s="813"/>
      <c r="T158" s="813"/>
      <c r="U158" s="813"/>
      <c r="V158" s="813"/>
      <c r="W158" s="813"/>
      <c r="X158" s="813"/>
    </row>
    <row r="159" spans="1:24" hidden="1" x14ac:dyDescent="0.2">
      <c r="A159" s="813"/>
      <c r="B159" s="813"/>
      <c r="C159" s="813"/>
      <c r="D159" s="813"/>
      <c r="E159" s="813"/>
      <c r="F159" s="813"/>
      <c r="G159" s="813"/>
      <c r="H159" s="813"/>
      <c r="I159" s="813"/>
      <c r="J159" s="813"/>
      <c r="K159" s="813"/>
      <c r="L159" s="813"/>
      <c r="M159" s="813"/>
      <c r="N159" s="813"/>
      <c r="O159" s="813"/>
      <c r="P159" s="813"/>
      <c r="Q159" s="813"/>
      <c r="R159" s="813"/>
      <c r="S159" s="813"/>
      <c r="T159" s="813"/>
      <c r="U159" s="813"/>
      <c r="V159" s="813"/>
      <c r="W159" s="813"/>
      <c r="X159" s="813"/>
    </row>
    <row r="160" spans="1:24" hidden="1" x14ac:dyDescent="0.2">
      <c r="A160" s="813"/>
      <c r="B160" s="813"/>
      <c r="C160" s="813"/>
      <c r="D160" s="813"/>
      <c r="E160" s="813"/>
      <c r="F160" s="813"/>
      <c r="G160" s="813"/>
      <c r="H160" s="813"/>
      <c r="I160" s="813"/>
      <c r="J160" s="813"/>
      <c r="K160" s="813"/>
      <c r="L160" s="813"/>
      <c r="M160" s="813"/>
      <c r="N160" s="813"/>
      <c r="O160" s="813"/>
      <c r="P160" s="813"/>
      <c r="Q160" s="813"/>
      <c r="R160" s="813"/>
      <c r="S160" s="813"/>
      <c r="T160" s="813"/>
      <c r="U160" s="813"/>
      <c r="V160" s="813"/>
      <c r="W160" s="813"/>
      <c r="X160" s="813"/>
    </row>
    <row r="161" spans="1:24" hidden="1" x14ac:dyDescent="0.2">
      <c r="A161" s="813"/>
      <c r="B161" s="813"/>
      <c r="C161" s="813"/>
      <c r="D161" s="813"/>
      <c r="E161" s="813"/>
      <c r="F161" s="813"/>
      <c r="G161" s="813"/>
      <c r="H161" s="813"/>
      <c r="I161" s="813"/>
      <c r="J161" s="813"/>
      <c r="K161" s="813"/>
      <c r="L161" s="813"/>
      <c r="M161" s="813"/>
      <c r="N161" s="813"/>
      <c r="O161" s="813"/>
      <c r="P161" s="813"/>
      <c r="Q161" s="813"/>
      <c r="R161" s="813"/>
      <c r="S161" s="813"/>
      <c r="T161" s="813"/>
      <c r="U161" s="813"/>
      <c r="V161" s="813"/>
      <c r="W161" s="813"/>
      <c r="X161" s="813"/>
    </row>
    <row r="162" spans="1:24" hidden="1" x14ac:dyDescent="0.2">
      <c r="A162" s="813"/>
      <c r="B162" s="813"/>
      <c r="C162" s="813"/>
      <c r="D162" s="813"/>
      <c r="E162" s="813"/>
      <c r="F162" s="813"/>
      <c r="G162" s="813"/>
      <c r="H162" s="813"/>
      <c r="I162" s="813"/>
      <c r="J162" s="813"/>
      <c r="K162" s="813"/>
      <c r="L162" s="813"/>
      <c r="M162" s="813"/>
      <c r="N162" s="813"/>
      <c r="O162" s="813"/>
      <c r="P162" s="813"/>
      <c r="Q162" s="813"/>
      <c r="R162" s="813"/>
      <c r="S162" s="813"/>
      <c r="T162" s="813"/>
      <c r="U162" s="813"/>
      <c r="V162" s="813"/>
      <c r="W162" s="813"/>
      <c r="X162" s="813"/>
    </row>
    <row r="163" spans="1:24" hidden="1" x14ac:dyDescent="0.2">
      <c r="A163" s="813"/>
      <c r="B163" s="813"/>
      <c r="C163" s="813"/>
      <c r="D163" s="813"/>
      <c r="E163" s="813"/>
      <c r="F163" s="813"/>
      <c r="G163" s="813"/>
      <c r="H163" s="813"/>
      <c r="I163" s="813"/>
      <c r="J163" s="813"/>
      <c r="K163" s="813"/>
      <c r="L163" s="813"/>
      <c r="M163" s="813"/>
      <c r="N163" s="813"/>
      <c r="O163" s="813"/>
      <c r="P163" s="813"/>
      <c r="Q163" s="813"/>
      <c r="R163" s="813"/>
      <c r="S163" s="813"/>
      <c r="T163" s="813"/>
      <c r="U163" s="813"/>
      <c r="V163" s="813"/>
      <c r="W163" s="813"/>
      <c r="X163" s="813"/>
    </row>
    <row r="164" spans="1:24" hidden="1" x14ac:dyDescent="0.2">
      <c r="A164" s="813"/>
      <c r="B164" s="813"/>
      <c r="C164" s="813"/>
      <c r="D164" s="813"/>
      <c r="E164" s="813"/>
      <c r="F164" s="813"/>
      <c r="G164" s="813"/>
      <c r="H164" s="813"/>
      <c r="I164" s="813"/>
      <c r="J164" s="813"/>
      <c r="K164" s="813"/>
      <c r="L164" s="813"/>
      <c r="M164" s="813"/>
      <c r="N164" s="813"/>
      <c r="O164" s="813"/>
      <c r="P164" s="813"/>
      <c r="Q164" s="813"/>
      <c r="R164" s="813"/>
      <c r="S164" s="813"/>
      <c r="T164" s="813"/>
      <c r="U164" s="813"/>
      <c r="V164" s="813"/>
      <c r="W164" s="813"/>
      <c r="X164" s="813"/>
    </row>
    <row r="165" spans="1:24" hidden="1" x14ac:dyDescent="0.2">
      <c r="A165" s="813"/>
      <c r="B165" s="813"/>
      <c r="C165" s="813"/>
      <c r="D165" s="813"/>
      <c r="E165" s="813"/>
      <c r="F165" s="813"/>
      <c r="G165" s="813"/>
      <c r="H165" s="813"/>
      <c r="I165" s="813"/>
      <c r="J165" s="813"/>
      <c r="K165" s="813"/>
      <c r="L165" s="813"/>
      <c r="M165" s="813"/>
      <c r="N165" s="813"/>
      <c r="O165" s="813"/>
      <c r="P165" s="813"/>
      <c r="Q165" s="813"/>
      <c r="R165" s="813"/>
      <c r="S165" s="813"/>
      <c r="T165" s="813"/>
      <c r="U165" s="813"/>
      <c r="V165" s="813"/>
      <c r="W165" s="813"/>
      <c r="X165" s="813"/>
    </row>
    <row r="166" spans="1:24" hidden="1" x14ac:dyDescent="0.2">
      <c r="A166" s="813"/>
      <c r="B166" s="813"/>
      <c r="C166" s="813"/>
      <c r="D166" s="813"/>
      <c r="E166" s="813"/>
      <c r="F166" s="813"/>
      <c r="G166" s="813"/>
      <c r="H166" s="813"/>
      <c r="I166" s="813"/>
      <c r="J166" s="813"/>
      <c r="K166" s="813"/>
      <c r="L166" s="813"/>
      <c r="M166" s="813"/>
      <c r="N166" s="813"/>
      <c r="O166" s="813"/>
      <c r="P166" s="813"/>
      <c r="Q166" s="813"/>
      <c r="R166" s="813"/>
      <c r="S166" s="813"/>
      <c r="T166" s="813"/>
      <c r="U166" s="813"/>
      <c r="V166" s="813"/>
      <c r="W166" s="813"/>
      <c r="X166" s="813"/>
    </row>
    <row r="167" spans="1:24" hidden="1" x14ac:dyDescent="0.2">
      <c r="A167" s="813"/>
      <c r="B167" s="813"/>
      <c r="C167" s="813"/>
      <c r="D167" s="813"/>
      <c r="E167" s="813"/>
      <c r="F167" s="813"/>
      <c r="G167" s="813"/>
      <c r="H167" s="813"/>
      <c r="I167" s="813"/>
      <c r="J167" s="813"/>
      <c r="K167" s="813"/>
      <c r="L167" s="813"/>
      <c r="M167" s="813"/>
      <c r="N167" s="813"/>
      <c r="O167" s="813"/>
      <c r="P167" s="813"/>
      <c r="Q167" s="813"/>
      <c r="R167" s="813"/>
      <c r="S167" s="813"/>
      <c r="T167" s="813"/>
      <c r="U167" s="813"/>
      <c r="V167" s="813"/>
      <c r="W167" s="813"/>
      <c r="X167" s="813"/>
    </row>
    <row r="168" spans="1:24" hidden="1" x14ac:dyDescent="0.2">
      <c r="A168" s="813"/>
      <c r="B168" s="813"/>
      <c r="C168" s="813"/>
      <c r="D168" s="813"/>
      <c r="E168" s="813"/>
      <c r="F168" s="813"/>
      <c r="G168" s="813"/>
      <c r="H168" s="813"/>
      <c r="I168" s="813"/>
      <c r="J168" s="813"/>
      <c r="K168" s="813"/>
      <c r="L168" s="813"/>
      <c r="M168" s="813"/>
      <c r="N168" s="813"/>
      <c r="O168" s="813"/>
      <c r="P168" s="813"/>
      <c r="Q168" s="813"/>
      <c r="R168" s="813"/>
      <c r="S168" s="813"/>
      <c r="T168" s="813"/>
      <c r="U168" s="813"/>
      <c r="V168" s="813"/>
      <c r="W168" s="813"/>
      <c r="X168" s="813"/>
    </row>
    <row r="169" spans="1:24" hidden="1" x14ac:dyDescent="0.2">
      <c r="A169" s="813"/>
      <c r="B169" s="813"/>
      <c r="C169" s="813"/>
      <c r="D169" s="813"/>
      <c r="E169" s="813"/>
      <c r="F169" s="813"/>
      <c r="G169" s="813"/>
      <c r="H169" s="813"/>
      <c r="I169" s="813"/>
      <c r="J169" s="813"/>
      <c r="K169" s="813"/>
      <c r="L169" s="813"/>
      <c r="M169" s="813"/>
      <c r="N169" s="813"/>
      <c r="O169" s="813"/>
      <c r="P169" s="813"/>
      <c r="Q169" s="813"/>
      <c r="R169" s="813"/>
      <c r="S169" s="813"/>
      <c r="T169" s="813"/>
      <c r="U169" s="813"/>
      <c r="V169" s="813"/>
      <c r="W169" s="813"/>
      <c r="X169" s="813"/>
    </row>
    <row r="170" spans="1:24" hidden="1" x14ac:dyDescent="0.2">
      <c r="A170" s="813"/>
      <c r="B170" s="813"/>
      <c r="C170" s="813"/>
      <c r="D170" s="813"/>
      <c r="E170" s="813"/>
      <c r="F170" s="813"/>
      <c r="G170" s="813"/>
      <c r="H170" s="813"/>
      <c r="I170" s="813"/>
      <c r="J170" s="813"/>
      <c r="K170" s="813"/>
      <c r="L170" s="813"/>
      <c r="M170" s="813"/>
      <c r="N170" s="813"/>
      <c r="O170" s="813"/>
      <c r="P170" s="813"/>
      <c r="Q170" s="813"/>
      <c r="R170" s="813"/>
      <c r="S170" s="813"/>
      <c r="T170" s="813"/>
      <c r="U170" s="813"/>
      <c r="V170" s="813"/>
      <c r="W170" s="813"/>
      <c r="X170" s="813"/>
    </row>
    <row r="171" spans="1:24" hidden="1" x14ac:dyDescent="0.2">
      <c r="A171" s="813"/>
      <c r="B171" s="813"/>
      <c r="C171" s="813"/>
      <c r="D171" s="813"/>
      <c r="E171" s="813"/>
      <c r="F171" s="813"/>
      <c r="G171" s="813"/>
      <c r="H171" s="813"/>
      <c r="I171" s="813"/>
      <c r="J171" s="813"/>
      <c r="K171" s="813"/>
      <c r="L171" s="813"/>
      <c r="M171" s="813"/>
      <c r="N171" s="813"/>
      <c r="O171" s="813"/>
      <c r="P171" s="813"/>
      <c r="Q171" s="813"/>
      <c r="R171" s="813"/>
      <c r="S171" s="813"/>
      <c r="T171" s="813"/>
      <c r="U171" s="813"/>
      <c r="V171" s="813"/>
      <c r="W171" s="813"/>
      <c r="X171" s="813"/>
    </row>
    <row r="172" spans="1:24" hidden="1" x14ac:dyDescent="0.2">
      <c r="A172" s="813"/>
      <c r="B172" s="813"/>
      <c r="C172" s="813"/>
      <c r="D172" s="813"/>
      <c r="E172" s="813"/>
      <c r="F172" s="813"/>
      <c r="G172" s="813"/>
      <c r="H172" s="813"/>
      <c r="I172" s="813"/>
      <c r="J172" s="813"/>
      <c r="K172" s="813"/>
      <c r="L172" s="813"/>
      <c r="M172" s="813"/>
      <c r="N172" s="813"/>
      <c r="O172" s="813"/>
      <c r="P172" s="813"/>
      <c r="Q172" s="813"/>
      <c r="R172" s="813"/>
      <c r="S172" s="813"/>
      <c r="T172" s="813"/>
      <c r="U172" s="813"/>
      <c r="V172" s="813"/>
      <c r="W172" s="813"/>
      <c r="X172" s="813"/>
    </row>
    <row r="173" spans="1:24" hidden="1" x14ac:dyDescent="0.2">
      <c r="A173" s="813"/>
      <c r="B173" s="813"/>
      <c r="C173" s="813"/>
      <c r="D173" s="813"/>
      <c r="E173" s="813"/>
      <c r="F173" s="813"/>
      <c r="G173" s="813"/>
      <c r="H173" s="813"/>
      <c r="I173" s="813"/>
      <c r="J173" s="813"/>
      <c r="K173" s="813"/>
      <c r="L173" s="813"/>
      <c r="M173" s="813"/>
      <c r="N173" s="813"/>
      <c r="O173" s="813"/>
      <c r="P173" s="813"/>
      <c r="Q173" s="813"/>
      <c r="R173" s="813"/>
      <c r="S173" s="813"/>
      <c r="T173" s="813"/>
      <c r="U173" s="813"/>
      <c r="V173" s="813"/>
      <c r="W173" s="813"/>
      <c r="X173" s="813"/>
    </row>
    <row r="174" spans="1:24" hidden="1" x14ac:dyDescent="0.2">
      <c r="A174" s="813"/>
      <c r="B174" s="813"/>
      <c r="C174" s="813"/>
      <c r="D174" s="813"/>
      <c r="E174" s="813"/>
      <c r="F174" s="813"/>
      <c r="G174" s="813"/>
      <c r="H174" s="813"/>
      <c r="I174" s="813"/>
      <c r="J174" s="813"/>
      <c r="K174" s="813"/>
      <c r="L174" s="813"/>
      <c r="M174" s="813"/>
      <c r="N174" s="813"/>
      <c r="O174" s="813"/>
      <c r="P174" s="813"/>
      <c r="Q174" s="813"/>
      <c r="R174" s="813"/>
      <c r="S174" s="813"/>
      <c r="T174" s="813"/>
      <c r="U174" s="813"/>
      <c r="V174" s="813"/>
      <c r="W174" s="813"/>
      <c r="X174" s="813"/>
    </row>
    <row r="175" spans="1:24" hidden="1" x14ac:dyDescent="0.2">
      <c r="A175" s="813"/>
      <c r="B175" s="813"/>
      <c r="C175" s="813"/>
      <c r="D175" s="813"/>
      <c r="E175" s="813"/>
      <c r="F175" s="813"/>
      <c r="G175" s="813"/>
      <c r="H175" s="813"/>
      <c r="I175" s="813"/>
      <c r="J175" s="813"/>
      <c r="K175" s="813"/>
      <c r="L175" s="813"/>
      <c r="M175" s="813"/>
      <c r="N175" s="813"/>
      <c r="O175" s="813"/>
      <c r="P175" s="813"/>
      <c r="Q175" s="813"/>
      <c r="R175" s="813"/>
      <c r="S175" s="813"/>
      <c r="T175" s="813"/>
      <c r="U175" s="813"/>
      <c r="V175" s="813"/>
      <c r="W175" s="813"/>
      <c r="X175" s="813"/>
    </row>
    <row r="176" spans="1:24" hidden="1" x14ac:dyDescent="0.2">
      <c r="A176" s="813"/>
      <c r="B176" s="813"/>
      <c r="C176" s="813"/>
      <c r="D176" s="813"/>
      <c r="E176" s="813"/>
      <c r="F176" s="813"/>
      <c r="G176" s="813"/>
      <c r="H176" s="813"/>
      <c r="I176" s="813"/>
      <c r="J176" s="813"/>
      <c r="K176" s="813"/>
      <c r="L176" s="813"/>
      <c r="M176" s="813"/>
      <c r="N176" s="813"/>
      <c r="O176" s="813"/>
      <c r="P176" s="813"/>
      <c r="Q176" s="813"/>
      <c r="R176" s="813"/>
      <c r="S176" s="813"/>
      <c r="T176" s="813"/>
      <c r="U176" s="813"/>
      <c r="V176" s="813"/>
      <c r="W176" s="813"/>
      <c r="X176" s="813"/>
    </row>
    <row r="177" spans="1:24" hidden="1" x14ac:dyDescent="0.2">
      <c r="A177" s="813"/>
      <c r="B177" s="813"/>
      <c r="C177" s="813"/>
      <c r="D177" s="813"/>
      <c r="E177" s="813"/>
      <c r="F177" s="813"/>
      <c r="G177" s="813"/>
      <c r="H177" s="813"/>
      <c r="I177" s="813"/>
      <c r="J177" s="813"/>
      <c r="K177" s="813"/>
      <c r="L177" s="813"/>
      <c r="M177" s="813"/>
      <c r="N177" s="813"/>
      <c r="O177" s="813"/>
      <c r="P177" s="813"/>
      <c r="Q177" s="813"/>
      <c r="R177" s="813"/>
      <c r="S177" s="813"/>
      <c r="T177" s="813"/>
      <c r="U177" s="813"/>
      <c r="V177" s="813"/>
      <c r="W177" s="813"/>
      <c r="X177" s="813"/>
    </row>
    <row r="178" spans="1:24" hidden="1" x14ac:dyDescent="0.2">
      <c r="A178" s="813"/>
      <c r="B178" s="813"/>
      <c r="C178" s="813"/>
      <c r="D178" s="813"/>
      <c r="E178" s="813"/>
      <c r="F178" s="813"/>
      <c r="G178" s="813"/>
      <c r="H178" s="813"/>
      <c r="I178" s="813"/>
      <c r="J178" s="813"/>
      <c r="K178" s="813"/>
      <c r="L178" s="813"/>
      <c r="M178" s="813"/>
      <c r="N178" s="813"/>
      <c r="O178" s="813"/>
      <c r="P178" s="813"/>
      <c r="Q178" s="813"/>
      <c r="R178" s="813"/>
      <c r="S178" s="813"/>
      <c r="T178" s="813"/>
      <c r="U178" s="813"/>
      <c r="V178" s="813"/>
      <c r="W178" s="813"/>
      <c r="X178" s="813"/>
    </row>
    <row r="179" spans="1:24" hidden="1" x14ac:dyDescent="0.2">
      <c r="A179" s="813"/>
      <c r="B179" s="813"/>
      <c r="C179" s="813"/>
      <c r="D179" s="813"/>
      <c r="E179" s="813"/>
      <c r="F179" s="813"/>
      <c r="G179" s="813"/>
      <c r="H179" s="813"/>
      <c r="I179" s="813"/>
      <c r="J179" s="813"/>
      <c r="K179" s="813"/>
      <c r="L179" s="813"/>
      <c r="M179" s="813"/>
      <c r="N179" s="813"/>
      <c r="O179" s="813"/>
      <c r="P179" s="813"/>
      <c r="Q179" s="813"/>
      <c r="R179" s="813"/>
      <c r="S179" s="813"/>
      <c r="T179" s="813"/>
      <c r="U179" s="813"/>
      <c r="V179" s="813"/>
      <c r="W179" s="813"/>
      <c r="X179" s="813"/>
    </row>
    <row r="180" spans="1:24" hidden="1" x14ac:dyDescent="0.2">
      <c r="A180" s="813"/>
      <c r="B180" s="813"/>
      <c r="C180" s="813"/>
      <c r="D180" s="813"/>
      <c r="E180" s="813"/>
      <c r="F180" s="813"/>
      <c r="G180" s="813"/>
      <c r="H180" s="813"/>
      <c r="I180" s="813"/>
      <c r="J180" s="813"/>
      <c r="K180" s="813"/>
      <c r="L180" s="813"/>
      <c r="M180" s="813"/>
      <c r="N180" s="813"/>
      <c r="O180" s="813"/>
      <c r="P180" s="813"/>
      <c r="Q180" s="813"/>
      <c r="R180" s="813"/>
      <c r="S180" s="813"/>
      <c r="T180" s="813"/>
      <c r="U180" s="813"/>
      <c r="V180" s="813"/>
      <c r="W180" s="813"/>
      <c r="X180" s="813"/>
    </row>
    <row r="181" spans="1:24" hidden="1" x14ac:dyDescent="0.2">
      <c r="A181" s="813"/>
      <c r="B181" s="813"/>
      <c r="C181" s="813"/>
      <c r="D181" s="813"/>
      <c r="E181" s="813"/>
      <c r="F181" s="813"/>
      <c r="G181" s="813"/>
      <c r="H181" s="813"/>
      <c r="I181" s="813"/>
      <c r="J181" s="813"/>
      <c r="K181" s="813"/>
      <c r="L181" s="813"/>
      <c r="M181" s="813"/>
      <c r="N181" s="813"/>
      <c r="O181" s="813"/>
      <c r="P181" s="813"/>
      <c r="Q181" s="813"/>
      <c r="R181" s="813"/>
      <c r="S181" s="813"/>
      <c r="T181" s="813"/>
      <c r="U181" s="813"/>
      <c r="V181" s="813"/>
      <c r="W181" s="813"/>
      <c r="X181" s="813"/>
    </row>
    <row r="182" spans="1:24" hidden="1" x14ac:dyDescent="0.2">
      <c r="A182" s="813"/>
      <c r="B182" s="813"/>
      <c r="C182" s="813"/>
      <c r="D182" s="813"/>
      <c r="E182" s="813"/>
      <c r="F182" s="813"/>
      <c r="G182" s="813"/>
      <c r="H182" s="813"/>
      <c r="I182" s="813"/>
      <c r="J182" s="813"/>
      <c r="K182" s="813"/>
      <c r="L182" s="813"/>
      <c r="M182" s="813"/>
      <c r="N182" s="813"/>
      <c r="O182" s="813"/>
      <c r="P182" s="813"/>
      <c r="Q182" s="813"/>
      <c r="R182" s="813"/>
      <c r="S182" s="813"/>
      <c r="T182" s="813"/>
      <c r="U182" s="813"/>
      <c r="V182" s="813"/>
      <c r="W182" s="813"/>
      <c r="X182" s="813"/>
    </row>
    <row r="183" spans="1:24" hidden="1" x14ac:dyDescent="0.2">
      <c r="A183" s="813"/>
      <c r="B183" s="813"/>
      <c r="C183" s="813"/>
      <c r="D183" s="813"/>
      <c r="E183" s="813"/>
      <c r="F183" s="813"/>
      <c r="G183" s="813"/>
      <c r="H183" s="813"/>
      <c r="I183" s="813"/>
      <c r="J183" s="813"/>
      <c r="K183" s="813"/>
      <c r="L183" s="813"/>
      <c r="M183" s="813"/>
      <c r="N183" s="813"/>
      <c r="O183" s="813"/>
      <c r="P183" s="813"/>
      <c r="Q183" s="813"/>
      <c r="R183" s="813"/>
      <c r="S183" s="813"/>
      <c r="T183" s="813"/>
      <c r="U183" s="813"/>
      <c r="V183" s="813"/>
      <c r="W183" s="813"/>
      <c r="X183" s="813"/>
    </row>
    <row r="184" spans="1:24" hidden="1" x14ac:dyDescent="0.2">
      <c r="A184" s="813"/>
      <c r="B184" s="813"/>
      <c r="C184" s="813"/>
      <c r="D184" s="813"/>
      <c r="E184" s="813"/>
      <c r="F184" s="813"/>
      <c r="G184" s="813"/>
      <c r="H184" s="813"/>
      <c r="I184" s="813"/>
      <c r="J184" s="813"/>
      <c r="K184" s="813"/>
      <c r="L184" s="813"/>
      <c r="M184" s="813"/>
      <c r="N184" s="813"/>
      <c r="O184" s="813"/>
      <c r="P184" s="813"/>
      <c r="Q184" s="813"/>
      <c r="R184" s="813"/>
      <c r="S184" s="813"/>
      <c r="T184" s="813"/>
      <c r="U184" s="813"/>
      <c r="V184" s="813"/>
      <c r="W184" s="813"/>
      <c r="X184" s="813"/>
    </row>
    <row r="185" spans="1:24" hidden="1" x14ac:dyDescent="0.2">
      <c r="A185" s="813"/>
      <c r="B185" s="813"/>
      <c r="C185" s="813"/>
      <c r="D185" s="813"/>
      <c r="E185" s="813"/>
      <c r="F185" s="813"/>
      <c r="G185" s="813"/>
      <c r="H185" s="813"/>
      <c r="I185" s="813"/>
      <c r="J185" s="813"/>
      <c r="K185" s="813"/>
      <c r="L185" s="813"/>
      <c r="M185" s="813"/>
      <c r="N185" s="813"/>
      <c r="O185" s="813"/>
      <c r="P185" s="813"/>
      <c r="Q185" s="813"/>
      <c r="R185" s="813"/>
      <c r="S185" s="813"/>
      <c r="T185" s="813"/>
      <c r="U185" s="813"/>
      <c r="V185" s="813"/>
      <c r="W185" s="813"/>
      <c r="X185" s="813"/>
    </row>
    <row r="186" spans="1:24" hidden="1" x14ac:dyDescent="0.2">
      <c r="A186" s="813"/>
      <c r="B186" s="813"/>
      <c r="C186" s="813"/>
      <c r="D186" s="813"/>
      <c r="E186" s="813"/>
      <c r="F186" s="813"/>
      <c r="G186" s="813"/>
      <c r="H186" s="813"/>
      <c r="I186" s="813"/>
      <c r="J186" s="813"/>
      <c r="K186" s="813"/>
      <c r="L186" s="813"/>
      <c r="M186" s="813"/>
      <c r="N186" s="813"/>
      <c r="O186" s="813"/>
      <c r="P186" s="813"/>
      <c r="Q186" s="813"/>
      <c r="R186" s="813"/>
      <c r="S186" s="813"/>
      <c r="T186" s="813"/>
      <c r="U186" s="813"/>
      <c r="V186" s="813"/>
      <c r="W186" s="813"/>
      <c r="X186" s="813"/>
    </row>
    <row r="187" spans="1:24" hidden="1" x14ac:dyDescent="0.2">
      <c r="A187" s="813"/>
      <c r="B187" s="813"/>
      <c r="C187" s="813"/>
      <c r="D187" s="813"/>
      <c r="E187" s="813"/>
      <c r="F187" s="813"/>
      <c r="G187" s="813"/>
      <c r="H187" s="813"/>
      <c r="I187" s="813"/>
      <c r="J187" s="813"/>
      <c r="K187" s="813"/>
      <c r="L187" s="813"/>
      <c r="M187" s="813"/>
      <c r="N187" s="813"/>
      <c r="O187" s="813"/>
      <c r="P187" s="813"/>
      <c r="Q187" s="813"/>
      <c r="R187" s="813"/>
      <c r="S187" s="813"/>
      <c r="T187" s="813"/>
      <c r="U187" s="813"/>
      <c r="V187" s="813"/>
      <c r="W187" s="813"/>
      <c r="X187" s="813"/>
    </row>
    <row r="188" spans="1:24" hidden="1" x14ac:dyDescent="0.2">
      <c r="A188" s="813"/>
      <c r="B188" s="813"/>
      <c r="C188" s="813"/>
      <c r="D188" s="813"/>
      <c r="E188" s="813"/>
      <c r="F188" s="813"/>
      <c r="G188" s="813"/>
      <c r="H188" s="813"/>
      <c r="I188" s="813"/>
      <c r="J188" s="813"/>
      <c r="K188" s="813"/>
      <c r="L188" s="813"/>
      <c r="M188" s="813"/>
      <c r="N188" s="813"/>
      <c r="O188" s="813"/>
      <c r="P188" s="813"/>
      <c r="Q188" s="813"/>
      <c r="R188" s="813"/>
      <c r="S188" s="813"/>
      <c r="T188" s="813"/>
      <c r="U188" s="813"/>
      <c r="V188" s="813"/>
      <c r="W188" s="813"/>
      <c r="X188" s="813"/>
    </row>
    <row r="189" spans="1:24" hidden="1" x14ac:dyDescent="0.2">
      <c r="A189" s="813"/>
      <c r="B189" s="813"/>
      <c r="C189" s="813"/>
      <c r="D189" s="813"/>
      <c r="E189" s="813"/>
      <c r="F189" s="813"/>
      <c r="G189" s="813"/>
      <c r="H189" s="813"/>
      <c r="I189" s="813"/>
      <c r="J189" s="813"/>
      <c r="K189" s="813"/>
      <c r="L189" s="813"/>
      <c r="M189" s="813"/>
      <c r="N189" s="813"/>
      <c r="O189" s="813"/>
      <c r="P189" s="813"/>
      <c r="Q189" s="813"/>
      <c r="R189" s="813"/>
      <c r="S189" s="813"/>
      <c r="T189" s="813"/>
      <c r="U189" s="813"/>
      <c r="V189" s="813"/>
      <c r="W189" s="813"/>
      <c r="X189" s="813"/>
    </row>
    <row r="190" spans="1:24" hidden="1" x14ac:dyDescent="0.2">
      <c r="A190" s="813"/>
      <c r="B190" s="813"/>
      <c r="C190" s="813"/>
      <c r="D190" s="813"/>
      <c r="E190" s="813"/>
      <c r="F190" s="813"/>
      <c r="G190" s="813"/>
      <c r="H190" s="813"/>
      <c r="I190" s="813"/>
      <c r="J190" s="813"/>
      <c r="K190" s="813"/>
      <c r="L190" s="813"/>
      <c r="M190" s="813"/>
      <c r="N190" s="813"/>
      <c r="O190" s="813"/>
      <c r="P190" s="813"/>
      <c r="Q190" s="813"/>
      <c r="R190" s="813"/>
      <c r="S190" s="813"/>
      <c r="T190" s="813"/>
      <c r="U190" s="813"/>
      <c r="V190" s="813"/>
      <c r="W190" s="813"/>
      <c r="X190" s="813"/>
    </row>
    <row r="191" spans="1:24" hidden="1" x14ac:dyDescent="0.2">
      <c r="A191" s="813"/>
      <c r="B191" s="813"/>
      <c r="C191" s="813"/>
      <c r="D191" s="813"/>
      <c r="E191" s="813"/>
      <c r="F191" s="813"/>
      <c r="G191" s="813"/>
      <c r="H191" s="813"/>
      <c r="I191" s="813"/>
      <c r="J191" s="813"/>
      <c r="K191" s="813"/>
      <c r="L191" s="813"/>
      <c r="M191" s="813"/>
      <c r="N191" s="813"/>
      <c r="O191" s="813"/>
      <c r="P191" s="813"/>
      <c r="Q191" s="813"/>
      <c r="R191" s="813"/>
      <c r="S191" s="813"/>
      <c r="T191" s="813"/>
      <c r="U191" s="813"/>
      <c r="V191" s="813"/>
      <c r="W191" s="813"/>
      <c r="X191" s="813"/>
    </row>
    <row r="192" spans="1:24" hidden="1" x14ac:dyDescent="0.2">
      <c r="A192" s="813"/>
      <c r="B192" s="813"/>
      <c r="C192" s="813"/>
      <c r="D192" s="813"/>
      <c r="E192" s="813"/>
      <c r="F192" s="813"/>
      <c r="G192" s="813"/>
      <c r="H192" s="813"/>
      <c r="I192" s="813"/>
      <c r="J192" s="813"/>
      <c r="K192" s="813"/>
      <c r="L192" s="813"/>
      <c r="M192" s="813"/>
      <c r="N192" s="813"/>
      <c r="O192" s="813"/>
      <c r="P192" s="813"/>
      <c r="Q192" s="813"/>
      <c r="R192" s="813"/>
      <c r="S192" s="813"/>
      <c r="T192" s="813"/>
      <c r="U192" s="813"/>
      <c r="V192" s="813"/>
      <c r="W192" s="813"/>
      <c r="X192" s="813"/>
    </row>
    <row r="193" spans="1:24" hidden="1" x14ac:dyDescent="0.2">
      <c r="A193" s="813"/>
      <c r="B193" s="813"/>
      <c r="C193" s="813"/>
      <c r="D193" s="813"/>
      <c r="E193" s="813"/>
      <c r="F193" s="813"/>
      <c r="G193" s="813"/>
      <c r="H193" s="813"/>
      <c r="I193" s="813"/>
      <c r="J193" s="813"/>
      <c r="K193" s="813"/>
      <c r="L193" s="813"/>
      <c r="M193" s="813"/>
      <c r="N193" s="813"/>
      <c r="O193" s="813"/>
      <c r="P193" s="813"/>
      <c r="Q193" s="813"/>
      <c r="R193" s="813"/>
      <c r="S193" s="813"/>
      <c r="T193" s="813"/>
      <c r="U193" s="813"/>
      <c r="V193" s="813"/>
      <c r="W193" s="813"/>
      <c r="X193" s="813"/>
    </row>
    <row r="194" spans="1:24" hidden="1" x14ac:dyDescent="0.2">
      <c r="A194" s="813"/>
      <c r="B194" s="813"/>
      <c r="C194" s="813"/>
      <c r="D194" s="813"/>
      <c r="E194" s="813"/>
      <c r="F194" s="813"/>
      <c r="G194" s="813"/>
      <c r="H194" s="813"/>
      <c r="I194" s="813"/>
      <c r="J194" s="813"/>
      <c r="K194" s="813"/>
      <c r="L194" s="813"/>
      <c r="M194" s="813"/>
      <c r="N194" s="813"/>
      <c r="O194" s="813"/>
      <c r="P194" s="813"/>
      <c r="Q194" s="813"/>
      <c r="R194" s="813"/>
      <c r="S194" s="813"/>
      <c r="T194" s="813"/>
      <c r="U194" s="813"/>
      <c r="V194" s="813"/>
      <c r="W194" s="813"/>
      <c r="X194" s="813"/>
    </row>
    <row r="195" spans="1:24" hidden="1" x14ac:dyDescent="0.2">
      <c r="A195" s="813"/>
      <c r="B195" s="813"/>
      <c r="C195" s="813"/>
      <c r="D195" s="813"/>
      <c r="E195" s="813"/>
      <c r="F195" s="813"/>
      <c r="G195" s="813"/>
      <c r="H195" s="813"/>
      <c r="I195" s="813"/>
      <c r="J195" s="813"/>
      <c r="K195" s="813"/>
      <c r="L195" s="813"/>
      <c r="M195" s="813"/>
      <c r="N195" s="813"/>
      <c r="O195" s="813"/>
      <c r="P195" s="813"/>
      <c r="Q195" s="813"/>
      <c r="R195" s="813"/>
      <c r="S195" s="813"/>
      <c r="T195" s="813"/>
      <c r="U195" s="813"/>
      <c r="V195" s="813"/>
      <c r="W195" s="813"/>
      <c r="X195" s="813"/>
    </row>
    <row r="196" spans="1:24" hidden="1" x14ac:dyDescent="0.2">
      <c r="A196" s="813"/>
      <c r="B196" s="813"/>
      <c r="C196" s="813"/>
      <c r="D196" s="813"/>
      <c r="E196" s="813"/>
      <c r="F196" s="813"/>
      <c r="G196" s="813"/>
      <c r="H196" s="813"/>
      <c r="I196" s="813"/>
      <c r="J196" s="813"/>
      <c r="K196" s="813"/>
      <c r="L196" s="813"/>
      <c r="M196" s="813"/>
      <c r="N196" s="813"/>
      <c r="O196" s="813"/>
      <c r="P196" s="813"/>
      <c r="Q196" s="813"/>
      <c r="R196" s="813"/>
      <c r="S196" s="813"/>
      <c r="T196" s="813"/>
      <c r="U196" s="813"/>
      <c r="V196" s="813"/>
      <c r="W196" s="813"/>
      <c r="X196" s="813"/>
    </row>
    <row r="197" spans="1:24" hidden="1" x14ac:dyDescent="0.2">
      <c r="A197" s="813"/>
      <c r="B197" s="813"/>
      <c r="C197" s="813"/>
      <c r="D197" s="813"/>
      <c r="E197" s="813"/>
      <c r="F197" s="813"/>
      <c r="G197" s="813"/>
      <c r="H197" s="813"/>
      <c r="I197" s="813"/>
      <c r="J197" s="813"/>
      <c r="K197" s="813"/>
      <c r="L197" s="813"/>
      <c r="M197" s="813"/>
      <c r="N197" s="813"/>
      <c r="O197" s="813"/>
      <c r="P197" s="813"/>
      <c r="Q197" s="813"/>
      <c r="R197" s="813"/>
      <c r="S197" s="813"/>
      <c r="T197" s="813"/>
      <c r="U197" s="813"/>
      <c r="V197" s="813"/>
      <c r="W197" s="813"/>
      <c r="X197" s="813"/>
    </row>
    <row r="198" spans="1:24" hidden="1" x14ac:dyDescent="0.2">
      <c r="A198" s="813"/>
      <c r="B198" s="813"/>
      <c r="C198" s="813"/>
      <c r="D198" s="813"/>
      <c r="E198" s="813"/>
      <c r="F198" s="813"/>
      <c r="G198" s="813"/>
      <c r="H198" s="813"/>
      <c r="I198" s="813"/>
      <c r="J198" s="813"/>
      <c r="K198" s="813"/>
      <c r="L198" s="813"/>
      <c r="M198" s="813"/>
      <c r="N198" s="813"/>
      <c r="O198" s="813"/>
      <c r="P198" s="813"/>
      <c r="Q198" s="813"/>
      <c r="R198" s="813"/>
      <c r="S198" s="813"/>
      <c r="T198" s="813"/>
      <c r="U198" s="813"/>
      <c r="V198" s="813"/>
      <c r="W198" s="813"/>
      <c r="X198" s="813"/>
    </row>
    <row r="199" spans="1:24" hidden="1" x14ac:dyDescent="0.2">
      <c r="A199" s="813"/>
      <c r="B199" s="813"/>
      <c r="C199" s="813"/>
      <c r="D199" s="813"/>
      <c r="E199" s="813"/>
      <c r="F199" s="813"/>
      <c r="G199" s="813"/>
      <c r="H199" s="813"/>
      <c r="I199" s="813"/>
      <c r="J199" s="813"/>
      <c r="K199" s="813"/>
      <c r="L199" s="813"/>
      <c r="M199" s="813"/>
      <c r="N199" s="813"/>
      <c r="O199" s="813"/>
      <c r="P199" s="813"/>
      <c r="Q199" s="813"/>
      <c r="R199" s="813"/>
      <c r="S199" s="813"/>
      <c r="T199" s="813"/>
      <c r="U199" s="813"/>
      <c r="V199" s="813"/>
      <c r="W199" s="813"/>
      <c r="X199" s="813"/>
    </row>
    <row r="200" spans="1:24" hidden="1" x14ac:dyDescent="0.2">
      <c r="A200" s="813"/>
      <c r="B200" s="813"/>
      <c r="C200" s="813"/>
      <c r="D200" s="813"/>
      <c r="E200" s="813"/>
      <c r="F200" s="813"/>
      <c r="G200" s="813"/>
      <c r="H200" s="813"/>
      <c r="I200" s="813"/>
      <c r="J200" s="813"/>
      <c r="K200" s="813"/>
      <c r="L200" s="813"/>
      <c r="M200" s="813"/>
      <c r="N200" s="813"/>
      <c r="O200" s="813"/>
      <c r="P200" s="813"/>
      <c r="Q200" s="813"/>
      <c r="R200" s="813"/>
      <c r="S200" s="813"/>
      <c r="T200" s="813"/>
      <c r="U200" s="813"/>
      <c r="V200" s="813"/>
      <c r="W200" s="813"/>
      <c r="X200" s="813"/>
    </row>
    <row r="201" spans="1:24" hidden="1" x14ac:dyDescent="0.2">
      <c r="A201" s="813"/>
      <c r="B201" s="813"/>
      <c r="C201" s="813"/>
      <c r="D201" s="813"/>
      <c r="E201" s="813"/>
      <c r="F201" s="813"/>
      <c r="G201" s="813"/>
      <c r="H201" s="813"/>
      <c r="I201" s="813"/>
      <c r="J201" s="813"/>
      <c r="K201" s="813"/>
      <c r="L201" s="813"/>
      <c r="M201" s="813"/>
      <c r="N201" s="813"/>
      <c r="O201" s="813"/>
      <c r="P201" s="813"/>
      <c r="Q201" s="813"/>
      <c r="R201" s="813"/>
      <c r="S201" s="813"/>
      <c r="T201" s="813"/>
      <c r="U201" s="813"/>
      <c r="V201" s="813"/>
      <c r="W201" s="813"/>
      <c r="X201" s="813"/>
    </row>
    <row r="202" spans="1:24" hidden="1" x14ac:dyDescent="0.2">
      <c r="A202" s="813"/>
      <c r="B202" s="813"/>
      <c r="C202" s="813"/>
      <c r="D202" s="813"/>
      <c r="E202" s="813"/>
      <c r="F202" s="813"/>
      <c r="G202" s="813"/>
      <c r="H202" s="813"/>
      <c r="I202" s="813"/>
      <c r="J202" s="813"/>
      <c r="K202" s="813"/>
      <c r="L202" s="813"/>
      <c r="M202" s="813"/>
      <c r="N202" s="813"/>
      <c r="O202" s="813"/>
      <c r="P202" s="813"/>
      <c r="Q202" s="813"/>
      <c r="R202" s="813"/>
      <c r="S202" s="813"/>
      <c r="T202" s="813"/>
      <c r="U202" s="813"/>
      <c r="V202" s="813"/>
      <c r="W202" s="813"/>
      <c r="X202" s="813"/>
    </row>
    <row r="203" spans="1:24" hidden="1" x14ac:dyDescent="0.2">
      <c r="A203" s="813"/>
      <c r="B203" s="813"/>
      <c r="C203" s="813"/>
      <c r="D203" s="813"/>
      <c r="E203" s="813"/>
      <c r="F203" s="813"/>
      <c r="G203" s="813"/>
      <c r="H203" s="813"/>
      <c r="I203" s="813"/>
      <c r="J203" s="813"/>
      <c r="K203" s="813"/>
      <c r="L203" s="813"/>
      <c r="M203" s="813"/>
      <c r="N203" s="813"/>
      <c r="O203" s="813"/>
      <c r="P203" s="813"/>
      <c r="Q203" s="813"/>
      <c r="R203" s="813"/>
      <c r="S203" s="813"/>
      <c r="T203" s="813"/>
      <c r="U203" s="813"/>
      <c r="V203" s="813"/>
      <c r="W203" s="813"/>
      <c r="X203" s="813"/>
    </row>
    <row r="204" spans="1:24" hidden="1" x14ac:dyDescent="0.2">
      <c r="A204" s="813"/>
      <c r="B204" s="813"/>
      <c r="C204" s="813"/>
      <c r="D204" s="813"/>
      <c r="E204" s="813"/>
      <c r="F204" s="813"/>
      <c r="G204" s="813"/>
      <c r="H204" s="813"/>
      <c r="I204" s="813"/>
      <c r="J204" s="813"/>
      <c r="K204" s="813"/>
      <c r="L204" s="813"/>
      <c r="M204" s="813"/>
      <c r="N204" s="813"/>
      <c r="O204" s="813"/>
      <c r="P204" s="813"/>
      <c r="Q204" s="813"/>
      <c r="R204" s="813"/>
      <c r="S204" s="813"/>
      <c r="T204" s="813"/>
      <c r="U204" s="813"/>
      <c r="V204" s="813"/>
      <c r="W204" s="813"/>
      <c r="X204" s="813"/>
    </row>
    <row r="205" spans="1:24" hidden="1" x14ac:dyDescent="0.2">
      <c r="A205" s="813"/>
      <c r="B205" s="813"/>
      <c r="C205" s="813"/>
      <c r="D205" s="813"/>
      <c r="E205" s="813"/>
      <c r="F205" s="813"/>
      <c r="G205" s="813"/>
      <c r="H205" s="813"/>
      <c r="I205" s="813"/>
      <c r="J205" s="813"/>
      <c r="K205" s="813"/>
      <c r="L205" s="813"/>
      <c r="M205" s="813"/>
      <c r="N205" s="813"/>
      <c r="O205" s="813"/>
      <c r="P205" s="813"/>
      <c r="Q205" s="813"/>
      <c r="R205" s="813"/>
      <c r="S205" s="813"/>
      <c r="T205" s="813"/>
      <c r="U205" s="813"/>
      <c r="V205" s="813"/>
      <c r="W205" s="813"/>
      <c r="X205" s="813"/>
    </row>
    <row r="206" spans="1:24" hidden="1" x14ac:dyDescent="0.2">
      <c r="A206" s="813"/>
      <c r="B206" s="813"/>
      <c r="C206" s="813"/>
      <c r="D206" s="813"/>
      <c r="E206" s="813"/>
      <c r="F206" s="813"/>
      <c r="G206" s="813"/>
      <c r="H206" s="813"/>
      <c r="I206" s="813"/>
      <c r="J206" s="813"/>
      <c r="K206" s="813"/>
      <c r="L206" s="813"/>
      <c r="M206" s="813"/>
      <c r="N206" s="813"/>
      <c r="O206" s="813"/>
      <c r="P206" s="813"/>
      <c r="Q206" s="813"/>
      <c r="R206" s="813"/>
      <c r="S206" s="813"/>
      <c r="T206" s="813"/>
      <c r="U206" s="813"/>
      <c r="V206" s="813"/>
      <c r="W206" s="813"/>
      <c r="X206" s="813"/>
    </row>
    <row r="207" spans="1:24" hidden="1" x14ac:dyDescent="0.2">
      <c r="A207" s="813"/>
      <c r="B207" s="813"/>
      <c r="C207" s="813"/>
      <c r="D207" s="813"/>
      <c r="E207" s="813"/>
      <c r="F207" s="813"/>
      <c r="G207" s="813"/>
      <c r="H207" s="813"/>
      <c r="I207" s="813"/>
      <c r="J207" s="813"/>
      <c r="K207" s="813"/>
      <c r="L207" s="813"/>
      <c r="M207" s="813"/>
      <c r="N207" s="813"/>
      <c r="O207" s="813"/>
      <c r="P207" s="813"/>
      <c r="Q207" s="813"/>
      <c r="R207" s="813"/>
      <c r="S207" s="813"/>
      <c r="T207" s="813"/>
      <c r="U207" s="813"/>
      <c r="V207" s="813"/>
      <c r="W207" s="813"/>
      <c r="X207" s="813"/>
    </row>
    <row r="208" spans="1:24" hidden="1" x14ac:dyDescent="0.2">
      <c r="A208" s="813"/>
      <c r="B208" s="813"/>
      <c r="C208" s="813"/>
      <c r="D208" s="813"/>
      <c r="E208" s="813"/>
      <c r="F208" s="813"/>
      <c r="G208" s="813"/>
      <c r="H208" s="813"/>
      <c r="I208" s="813"/>
      <c r="J208" s="813"/>
      <c r="K208" s="813"/>
      <c r="L208" s="813"/>
      <c r="M208" s="813"/>
      <c r="N208" s="813"/>
      <c r="O208" s="813"/>
      <c r="P208" s="813"/>
      <c r="Q208" s="813"/>
      <c r="R208" s="813"/>
      <c r="S208" s="813"/>
      <c r="T208" s="813"/>
      <c r="U208" s="813"/>
      <c r="V208" s="813"/>
      <c r="W208" s="813"/>
      <c r="X208" s="813"/>
    </row>
    <row r="209" spans="1:24" hidden="1" x14ac:dyDescent="0.2">
      <c r="A209" s="813"/>
      <c r="B209" s="813"/>
      <c r="C209" s="813"/>
      <c r="D209" s="813"/>
      <c r="E209" s="813"/>
      <c r="F209" s="813"/>
      <c r="G209" s="813"/>
      <c r="H209" s="813"/>
      <c r="I209" s="813"/>
      <c r="J209" s="813"/>
      <c r="K209" s="813"/>
      <c r="L209" s="813"/>
      <c r="M209" s="813"/>
      <c r="N209" s="813"/>
      <c r="O209" s="813"/>
      <c r="P209" s="813"/>
      <c r="Q209" s="813"/>
      <c r="R209" s="813"/>
      <c r="S209" s="813"/>
      <c r="T209" s="813"/>
      <c r="U209" s="813"/>
      <c r="V209" s="813"/>
      <c r="W209" s="813"/>
      <c r="X209" s="813"/>
    </row>
    <row r="210" spans="1:24" hidden="1" x14ac:dyDescent="0.2">
      <c r="A210" s="813"/>
      <c r="B210" s="813"/>
      <c r="C210" s="813"/>
      <c r="D210" s="813"/>
      <c r="E210" s="813"/>
      <c r="F210" s="813"/>
      <c r="G210" s="813"/>
      <c r="H210" s="813"/>
      <c r="I210" s="813"/>
      <c r="J210" s="813"/>
      <c r="K210" s="813"/>
      <c r="L210" s="813"/>
      <c r="M210" s="813"/>
      <c r="N210" s="813"/>
      <c r="O210" s="813"/>
      <c r="P210" s="813"/>
      <c r="Q210" s="813"/>
      <c r="R210" s="813"/>
      <c r="S210" s="813"/>
      <c r="T210" s="813"/>
      <c r="U210" s="813"/>
      <c r="V210" s="813"/>
      <c r="W210" s="813"/>
      <c r="X210" s="813"/>
    </row>
    <row r="211" spans="1:24" hidden="1" x14ac:dyDescent="0.2">
      <c r="A211" s="813"/>
      <c r="B211" s="813"/>
      <c r="C211" s="813"/>
      <c r="D211" s="813"/>
      <c r="E211" s="813"/>
      <c r="F211" s="813"/>
      <c r="G211" s="813"/>
      <c r="H211" s="813"/>
      <c r="I211" s="813"/>
      <c r="J211" s="813"/>
      <c r="K211" s="813"/>
      <c r="L211" s="813"/>
      <c r="M211" s="813"/>
      <c r="N211" s="813"/>
      <c r="O211" s="813"/>
      <c r="P211" s="813"/>
      <c r="Q211" s="813"/>
      <c r="R211" s="813"/>
      <c r="S211" s="813"/>
      <c r="T211" s="813"/>
      <c r="U211" s="813"/>
      <c r="V211" s="813"/>
      <c r="W211" s="813"/>
      <c r="X211" s="813"/>
    </row>
    <row r="212" spans="1:24" hidden="1" x14ac:dyDescent="0.2">
      <c r="A212" s="813"/>
      <c r="B212" s="813"/>
      <c r="C212" s="813"/>
      <c r="D212" s="813"/>
      <c r="E212" s="813"/>
      <c r="F212" s="813"/>
      <c r="G212" s="813"/>
      <c r="H212" s="813"/>
      <c r="I212" s="813"/>
      <c r="J212" s="813"/>
      <c r="K212" s="813"/>
      <c r="L212" s="813"/>
      <c r="M212" s="813"/>
      <c r="N212" s="813"/>
      <c r="O212" s="813"/>
      <c r="P212" s="813"/>
      <c r="Q212" s="813"/>
      <c r="R212" s="813"/>
      <c r="S212" s="813"/>
      <c r="T212" s="813"/>
      <c r="U212" s="813"/>
      <c r="V212" s="813"/>
      <c r="W212" s="813"/>
      <c r="X212" s="813"/>
    </row>
    <row r="213" spans="1:24" hidden="1" x14ac:dyDescent="0.2">
      <c r="A213" s="813"/>
      <c r="B213" s="813"/>
      <c r="C213" s="813"/>
      <c r="D213" s="813"/>
      <c r="E213" s="813"/>
      <c r="F213" s="813"/>
      <c r="G213" s="813"/>
      <c r="H213" s="813"/>
      <c r="I213" s="813"/>
      <c r="J213" s="813"/>
      <c r="K213" s="813"/>
      <c r="L213" s="813"/>
      <c r="M213" s="813"/>
      <c r="N213" s="813"/>
      <c r="O213" s="813"/>
      <c r="P213" s="813"/>
      <c r="Q213" s="813"/>
      <c r="R213" s="813"/>
      <c r="S213" s="813"/>
      <c r="T213" s="813"/>
      <c r="U213" s="813"/>
      <c r="V213" s="813"/>
      <c r="W213" s="813"/>
      <c r="X213" s="813"/>
    </row>
    <row r="214" spans="1:24" hidden="1" x14ac:dyDescent="0.2">
      <c r="A214" s="813"/>
      <c r="B214" s="813"/>
      <c r="C214" s="813"/>
      <c r="D214" s="813"/>
      <c r="E214" s="813"/>
      <c r="F214" s="813"/>
      <c r="G214" s="813"/>
      <c r="H214" s="813"/>
      <c r="I214" s="813"/>
      <c r="J214" s="813"/>
      <c r="K214" s="813"/>
      <c r="L214" s="813"/>
      <c r="M214" s="813"/>
      <c r="N214" s="813"/>
      <c r="O214" s="813"/>
      <c r="P214" s="813"/>
      <c r="Q214" s="813"/>
      <c r="R214" s="813"/>
      <c r="S214" s="813"/>
      <c r="T214" s="813"/>
      <c r="U214" s="813"/>
      <c r="V214" s="813"/>
      <c r="W214" s="813"/>
      <c r="X214" s="813"/>
    </row>
    <row r="215" spans="1:24" hidden="1" x14ac:dyDescent="0.2">
      <c r="A215" s="813"/>
      <c r="B215" s="813"/>
      <c r="C215" s="813"/>
      <c r="D215" s="813"/>
      <c r="E215" s="813"/>
      <c r="F215" s="813"/>
      <c r="G215" s="813"/>
      <c r="H215" s="813"/>
      <c r="I215" s="813"/>
      <c r="J215" s="813"/>
      <c r="K215" s="813"/>
      <c r="L215" s="813"/>
      <c r="M215" s="813"/>
      <c r="N215" s="813"/>
      <c r="O215" s="813"/>
      <c r="P215" s="813"/>
      <c r="Q215" s="813"/>
      <c r="R215" s="813"/>
      <c r="S215" s="813"/>
      <c r="T215" s="813"/>
      <c r="U215" s="813"/>
      <c r="V215" s="813"/>
      <c r="W215" s="813"/>
      <c r="X215" s="813"/>
    </row>
    <row r="216" spans="1:24" hidden="1" x14ac:dyDescent="0.2">
      <c r="A216" s="813"/>
      <c r="B216" s="813"/>
      <c r="C216" s="813"/>
      <c r="D216" s="813"/>
      <c r="E216" s="813"/>
      <c r="F216" s="813"/>
      <c r="G216" s="813"/>
      <c r="H216" s="813"/>
      <c r="I216" s="813"/>
      <c r="J216" s="813"/>
      <c r="K216" s="813"/>
      <c r="L216" s="813"/>
      <c r="M216" s="813"/>
      <c r="N216" s="813"/>
      <c r="O216" s="813"/>
      <c r="P216" s="813"/>
      <c r="Q216" s="813"/>
      <c r="R216" s="813"/>
      <c r="S216" s="813"/>
      <c r="T216" s="813"/>
      <c r="U216" s="813"/>
      <c r="V216" s="813"/>
      <c r="W216" s="813"/>
      <c r="X216" s="813"/>
    </row>
    <row r="217" spans="1:24" hidden="1" x14ac:dyDescent="0.2">
      <c r="A217" s="813"/>
      <c r="B217" s="813"/>
      <c r="C217" s="813"/>
      <c r="D217" s="813"/>
      <c r="E217" s="813"/>
      <c r="F217" s="813"/>
      <c r="G217" s="813"/>
      <c r="H217" s="813"/>
      <c r="I217" s="813"/>
      <c r="J217" s="813"/>
      <c r="K217" s="813"/>
      <c r="L217" s="813"/>
      <c r="M217" s="813"/>
      <c r="N217" s="813"/>
      <c r="O217" s="813"/>
      <c r="P217" s="813"/>
      <c r="Q217" s="813"/>
      <c r="R217" s="813"/>
      <c r="S217" s="813"/>
      <c r="T217" s="813"/>
      <c r="U217" s="813"/>
      <c r="V217" s="813"/>
      <c r="W217" s="813"/>
      <c r="X217" s="813"/>
    </row>
    <row r="218" spans="1:24" hidden="1" x14ac:dyDescent="0.2">
      <c r="A218" s="813"/>
      <c r="B218" s="813"/>
      <c r="C218" s="813"/>
      <c r="D218" s="813"/>
      <c r="E218" s="813"/>
      <c r="F218" s="813"/>
      <c r="G218" s="813"/>
      <c r="H218" s="813"/>
      <c r="I218" s="813"/>
      <c r="J218" s="813"/>
      <c r="K218" s="813"/>
      <c r="L218" s="813"/>
      <c r="M218" s="813"/>
      <c r="N218" s="813"/>
      <c r="O218" s="813"/>
      <c r="P218" s="813"/>
      <c r="Q218" s="813"/>
      <c r="R218" s="813"/>
      <c r="S218" s="813"/>
      <c r="T218" s="813"/>
      <c r="U218" s="813"/>
      <c r="V218" s="813"/>
      <c r="W218" s="813"/>
      <c r="X218" s="813"/>
    </row>
    <row r="219" spans="1:24" hidden="1" x14ac:dyDescent="0.2">
      <c r="A219" s="813"/>
      <c r="B219" s="813"/>
      <c r="C219" s="813"/>
      <c r="D219" s="813"/>
      <c r="E219" s="813"/>
      <c r="F219" s="813"/>
      <c r="G219" s="813"/>
      <c r="H219" s="813"/>
      <c r="I219" s="813"/>
      <c r="J219" s="813"/>
      <c r="K219" s="813"/>
      <c r="L219" s="813"/>
      <c r="M219" s="813"/>
      <c r="N219" s="813"/>
      <c r="O219" s="813"/>
      <c r="P219" s="813"/>
      <c r="Q219" s="813"/>
      <c r="R219" s="813"/>
      <c r="S219" s="813"/>
      <c r="T219" s="813"/>
      <c r="U219" s="813"/>
      <c r="V219" s="813"/>
      <c r="W219" s="813"/>
      <c r="X219" s="813"/>
    </row>
    <row r="220" spans="1:24" hidden="1" x14ac:dyDescent="0.2">
      <c r="A220" s="813"/>
      <c r="B220" s="813"/>
      <c r="C220" s="813"/>
      <c r="D220" s="813"/>
      <c r="E220" s="813"/>
      <c r="F220" s="813"/>
      <c r="G220" s="813"/>
      <c r="H220" s="813"/>
      <c r="I220" s="813"/>
      <c r="J220" s="813"/>
      <c r="K220" s="813"/>
      <c r="L220" s="813"/>
      <c r="M220" s="813"/>
      <c r="N220" s="813"/>
      <c r="O220" s="813"/>
      <c r="P220" s="813"/>
      <c r="Q220" s="813"/>
      <c r="R220" s="813"/>
      <c r="S220" s="813"/>
      <c r="T220" s="813"/>
      <c r="U220" s="813"/>
      <c r="V220" s="813"/>
      <c r="W220" s="813"/>
      <c r="X220" s="813"/>
    </row>
    <row r="221" spans="1:24" hidden="1" x14ac:dyDescent="0.2">
      <c r="A221" s="813"/>
      <c r="B221" s="813"/>
      <c r="C221" s="813"/>
      <c r="D221" s="813"/>
      <c r="E221" s="813"/>
      <c r="F221" s="813"/>
      <c r="G221" s="813"/>
      <c r="H221" s="813"/>
      <c r="I221" s="813"/>
      <c r="J221" s="813"/>
      <c r="K221" s="813"/>
      <c r="L221" s="813"/>
      <c r="M221" s="813"/>
      <c r="N221" s="813"/>
      <c r="O221" s="813"/>
      <c r="P221" s="813"/>
      <c r="Q221" s="813"/>
      <c r="R221" s="813"/>
      <c r="S221" s="813"/>
      <c r="T221" s="813"/>
      <c r="U221" s="813"/>
      <c r="V221" s="813"/>
      <c r="W221" s="813"/>
      <c r="X221" s="813"/>
    </row>
    <row r="222" spans="1:24" hidden="1" x14ac:dyDescent="0.2">
      <c r="A222" s="813"/>
      <c r="B222" s="813"/>
      <c r="C222" s="813"/>
      <c r="D222" s="813"/>
      <c r="E222" s="813"/>
      <c r="F222" s="813"/>
      <c r="G222" s="813"/>
      <c r="H222" s="813"/>
      <c r="I222" s="813"/>
      <c r="J222" s="813"/>
      <c r="K222" s="813"/>
      <c r="L222" s="813"/>
      <c r="M222" s="813"/>
      <c r="N222" s="813"/>
      <c r="O222" s="813"/>
      <c r="P222" s="813"/>
      <c r="Q222" s="813"/>
      <c r="R222" s="813"/>
      <c r="S222" s="813"/>
      <c r="T222" s="813"/>
      <c r="U222" s="813"/>
      <c r="V222" s="813"/>
      <c r="W222" s="813"/>
      <c r="X222" s="813"/>
    </row>
    <row r="223" spans="1:24" hidden="1" x14ac:dyDescent="0.2">
      <c r="A223" s="813"/>
      <c r="B223" s="813"/>
      <c r="C223" s="813"/>
      <c r="D223" s="813"/>
      <c r="E223" s="813"/>
      <c r="F223" s="813"/>
      <c r="G223" s="813"/>
      <c r="H223" s="813"/>
      <c r="I223" s="813"/>
      <c r="J223" s="813"/>
      <c r="K223" s="813"/>
      <c r="L223" s="813"/>
      <c r="M223" s="813"/>
      <c r="N223" s="813"/>
      <c r="O223" s="813"/>
      <c r="P223" s="813"/>
      <c r="Q223" s="813"/>
      <c r="R223" s="813"/>
      <c r="S223" s="813"/>
      <c r="T223" s="813"/>
      <c r="U223" s="813"/>
      <c r="V223" s="813"/>
      <c r="W223" s="813"/>
      <c r="X223" s="813"/>
    </row>
    <row r="224" spans="1:24" hidden="1" x14ac:dyDescent="0.2">
      <c r="A224" s="813"/>
      <c r="B224" s="813"/>
      <c r="C224" s="813"/>
      <c r="D224" s="813"/>
      <c r="E224" s="813"/>
      <c r="F224" s="813"/>
      <c r="G224" s="813"/>
      <c r="H224" s="813"/>
      <c r="I224" s="813"/>
      <c r="J224" s="813"/>
      <c r="K224" s="813"/>
      <c r="L224" s="813"/>
      <c r="M224" s="813"/>
      <c r="N224" s="813"/>
      <c r="O224" s="813"/>
      <c r="P224" s="813"/>
      <c r="Q224" s="813"/>
      <c r="R224" s="813"/>
      <c r="S224" s="813"/>
      <c r="T224" s="813"/>
      <c r="U224" s="813"/>
      <c r="V224" s="813"/>
      <c r="W224" s="813"/>
      <c r="X224" s="813"/>
    </row>
    <row r="225" spans="1:24" hidden="1" x14ac:dyDescent="0.2">
      <c r="A225" s="813"/>
      <c r="B225" s="813"/>
      <c r="C225" s="813"/>
      <c r="D225" s="813"/>
      <c r="E225" s="813"/>
      <c r="F225" s="813"/>
      <c r="G225" s="813"/>
      <c r="H225" s="813"/>
      <c r="I225" s="813"/>
      <c r="J225" s="813"/>
      <c r="K225" s="813"/>
      <c r="L225" s="813"/>
      <c r="M225" s="813"/>
      <c r="N225" s="813"/>
      <c r="O225" s="813"/>
      <c r="P225" s="813"/>
      <c r="Q225" s="813"/>
      <c r="R225" s="813"/>
      <c r="S225" s="813"/>
      <c r="T225" s="813"/>
      <c r="U225" s="813"/>
      <c r="V225" s="813"/>
      <c r="W225" s="813"/>
      <c r="X225" s="813"/>
    </row>
    <row r="226" spans="1:24" hidden="1" x14ac:dyDescent="0.2">
      <c r="A226" s="813"/>
      <c r="B226" s="813"/>
      <c r="C226" s="813"/>
      <c r="D226" s="813"/>
      <c r="E226" s="813"/>
      <c r="F226" s="813"/>
      <c r="G226" s="813"/>
      <c r="H226" s="813"/>
      <c r="I226" s="813"/>
      <c r="J226" s="813"/>
      <c r="K226" s="813"/>
      <c r="L226" s="813"/>
      <c r="M226" s="813"/>
      <c r="N226" s="813"/>
      <c r="O226" s="813"/>
      <c r="P226" s="813"/>
      <c r="Q226" s="813"/>
      <c r="R226" s="813"/>
      <c r="S226" s="813"/>
      <c r="T226" s="813"/>
      <c r="U226" s="813"/>
      <c r="V226" s="813"/>
      <c r="W226" s="813"/>
      <c r="X226" s="813"/>
    </row>
    <row r="227" spans="1:24" hidden="1" x14ac:dyDescent="0.2">
      <c r="A227" s="813"/>
      <c r="B227" s="813"/>
      <c r="C227" s="813"/>
      <c r="D227" s="813"/>
      <c r="E227" s="813"/>
      <c r="F227" s="813"/>
      <c r="G227" s="813"/>
      <c r="H227" s="813"/>
      <c r="I227" s="813"/>
      <c r="J227" s="813"/>
      <c r="K227" s="813"/>
      <c r="L227" s="813"/>
      <c r="M227" s="813"/>
      <c r="N227" s="813"/>
      <c r="O227" s="813"/>
      <c r="P227" s="813"/>
      <c r="Q227" s="813"/>
      <c r="R227" s="813"/>
      <c r="S227" s="813"/>
      <c r="T227" s="813"/>
      <c r="U227" s="813"/>
      <c r="V227" s="813"/>
      <c r="W227" s="813"/>
      <c r="X227" s="813"/>
    </row>
    <row r="228" spans="1:24" hidden="1" x14ac:dyDescent="0.2">
      <c r="A228" s="813"/>
      <c r="B228" s="813"/>
      <c r="C228" s="813"/>
      <c r="D228" s="813"/>
      <c r="E228" s="813"/>
      <c r="F228" s="813"/>
      <c r="G228" s="813"/>
      <c r="H228" s="813"/>
      <c r="I228" s="813"/>
      <c r="J228" s="813"/>
      <c r="K228" s="813"/>
      <c r="L228" s="813"/>
      <c r="M228" s="813"/>
      <c r="N228" s="813"/>
      <c r="O228" s="813"/>
      <c r="P228" s="813"/>
      <c r="Q228" s="813"/>
      <c r="R228" s="813"/>
      <c r="S228" s="813"/>
      <c r="T228" s="813"/>
      <c r="U228" s="813"/>
      <c r="V228" s="813"/>
      <c r="W228" s="813"/>
      <c r="X228" s="813"/>
    </row>
    <row r="229" spans="1:24" hidden="1" x14ac:dyDescent="0.2">
      <c r="A229" s="813"/>
      <c r="B229" s="813"/>
      <c r="C229" s="813"/>
      <c r="D229" s="813"/>
      <c r="E229" s="813"/>
      <c r="F229" s="813"/>
      <c r="G229" s="813"/>
      <c r="H229" s="813"/>
      <c r="I229" s="813"/>
      <c r="J229" s="813"/>
      <c r="K229" s="813"/>
      <c r="L229" s="813"/>
      <c r="M229" s="813"/>
      <c r="N229" s="813"/>
      <c r="O229" s="813"/>
      <c r="P229" s="813"/>
      <c r="Q229" s="813"/>
      <c r="R229" s="813"/>
      <c r="S229" s="813"/>
      <c r="T229" s="813"/>
      <c r="U229" s="813"/>
      <c r="V229" s="813"/>
      <c r="W229" s="813"/>
      <c r="X229" s="813"/>
    </row>
    <row r="230" spans="1:24" hidden="1" x14ac:dyDescent="0.2">
      <c r="A230" s="813"/>
      <c r="B230" s="813"/>
      <c r="C230" s="813"/>
      <c r="D230" s="813"/>
      <c r="E230" s="813"/>
      <c r="F230" s="813"/>
      <c r="G230" s="813"/>
      <c r="H230" s="813"/>
      <c r="I230" s="813"/>
      <c r="J230" s="813"/>
      <c r="K230" s="813"/>
      <c r="L230" s="813"/>
      <c r="M230" s="813"/>
      <c r="N230" s="813"/>
      <c r="O230" s="813"/>
      <c r="P230" s="813"/>
      <c r="Q230" s="813"/>
      <c r="R230" s="813"/>
      <c r="S230" s="813"/>
      <c r="T230" s="813"/>
      <c r="U230" s="813"/>
      <c r="V230" s="813"/>
      <c r="W230" s="813"/>
      <c r="X230" s="813"/>
    </row>
    <row r="231" spans="1:24" hidden="1" x14ac:dyDescent="0.2">
      <c r="A231" s="813"/>
      <c r="B231" s="813"/>
      <c r="C231" s="813"/>
      <c r="D231" s="813"/>
      <c r="E231" s="813"/>
      <c r="F231" s="813"/>
      <c r="G231" s="813"/>
      <c r="H231" s="813"/>
      <c r="I231" s="813"/>
      <c r="J231" s="813"/>
      <c r="K231" s="813"/>
      <c r="L231" s="813"/>
      <c r="M231" s="813"/>
      <c r="N231" s="813"/>
      <c r="O231" s="813"/>
      <c r="P231" s="813"/>
      <c r="Q231" s="813"/>
      <c r="R231" s="813"/>
      <c r="S231" s="813"/>
      <c r="T231" s="813"/>
      <c r="U231" s="813"/>
      <c r="V231" s="813"/>
      <c r="W231" s="813"/>
      <c r="X231" s="813"/>
    </row>
    <row r="232" spans="1:24" hidden="1" x14ac:dyDescent="0.2">
      <c r="A232" s="813"/>
      <c r="B232" s="813"/>
      <c r="C232" s="813"/>
      <c r="D232" s="813"/>
      <c r="E232" s="813"/>
      <c r="F232" s="813"/>
      <c r="G232" s="813"/>
      <c r="H232" s="813"/>
      <c r="I232" s="813"/>
      <c r="J232" s="813"/>
      <c r="K232" s="813"/>
      <c r="L232" s="813"/>
      <c r="M232" s="813"/>
      <c r="N232" s="813"/>
      <c r="O232" s="813"/>
      <c r="P232" s="813"/>
      <c r="Q232" s="813"/>
      <c r="R232" s="813"/>
      <c r="S232" s="813"/>
      <c r="T232" s="813"/>
      <c r="U232" s="813"/>
      <c r="V232" s="813"/>
      <c r="W232" s="813"/>
      <c r="X232" s="813"/>
    </row>
    <row r="233" spans="1:24" hidden="1" x14ac:dyDescent="0.2">
      <c r="A233" s="813"/>
      <c r="B233" s="813"/>
      <c r="C233" s="813"/>
      <c r="D233" s="813"/>
      <c r="E233" s="813"/>
      <c r="F233" s="813"/>
      <c r="G233" s="813"/>
      <c r="H233" s="813"/>
      <c r="I233" s="813"/>
      <c r="J233" s="813"/>
      <c r="K233" s="813"/>
      <c r="L233" s="813"/>
      <c r="M233" s="813"/>
      <c r="N233" s="813"/>
      <c r="O233" s="813"/>
      <c r="P233" s="813"/>
      <c r="Q233" s="813"/>
      <c r="R233" s="813"/>
      <c r="S233" s="813"/>
      <c r="T233" s="813"/>
      <c r="U233" s="813"/>
      <c r="V233" s="813"/>
      <c r="W233" s="813"/>
      <c r="X233" s="813"/>
    </row>
    <row r="234" spans="1:24" hidden="1" x14ac:dyDescent="0.2">
      <c r="A234" s="813"/>
      <c r="B234" s="813"/>
      <c r="C234" s="813"/>
      <c r="D234" s="813"/>
      <c r="E234" s="813"/>
      <c r="F234" s="813"/>
      <c r="G234" s="813"/>
      <c r="H234" s="813"/>
      <c r="I234" s="813"/>
      <c r="J234" s="813"/>
      <c r="K234" s="813"/>
      <c r="L234" s="813"/>
      <c r="M234" s="813"/>
      <c r="N234" s="813"/>
      <c r="O234" s="813"/>
      <c r="P234" s="813"/>
      <c r="Q234" s="813"/>
      <c r="R234" s="813"/>
      <c r="S234" s="813"/>
      <c r="T234" s="813"/>
      <c r="U234" s="813"/>
      <c r="V234" s="813"/>
      <c r="W234" s="813"/>
      <c r="X234" s="813"/>
    </row>
    <row r="235" spans="1:24" hidden="1" x14ac:dyDescent="0.2">
      <c r="A235" s="813"/>
      <c r="B235" s="813"/>
      <c r="C235" s="813"/>
      <c r="D235" s="813"/>
      <c r="E235" s="813"/>
      <c r="F235" s="813"/>
      <c r="G235" s="813"/>
      <c r="H235" s="813"/>
      <c r="I235" s="813"/>
      <c r="J235" s="813"/>
      <c r="K235" s="813"/>
      <c r="L235" s="813"/>
      <c r="M235" s="813"/>
      <c r="N235" s="813"/>
      <c r="O235" s="813"/>
      <c r="P235" s="813"/>
      <c r="Q235" s="813"/>
      <c r="R235" s="813"/>
      <c r="S235" s="813"/>
      <c r="T235" s="813"/>
      <c r="U235" s="813"/>
      <c r="V235" s="813"/>
      <c r="W235" s="813"/>
      <c r="X235" s="813"/>
    </row>
    <row r="236" spans="1:24" hidden="1" x14ac:dyDescent="0.2">
      <c r="A236" s="813"/>
      <c r="B236" s="813"/>
      <c r="C236" s="813"/>
      <c r="D236" s="813"/>
      <c r="E236" s="813"/>
      <c r="F236" s="813"/>
      <c r="G236" s="813"/>
      <c r="H236" s="813"/>
      <c r="I236" s="813"/>
      <c r="J236" s="813"/>
      <c r="K236" s="813"/>
      <c r="L236" s="813"/>
      <c r="M236" s="813"/>
      <c r="N236" s="813"/>
      <c r="O236" s="813"/>
      <c r="P236" s="813"/>
      <c r="Q236" s="813"/>
      <c r="R236" s="813"/>
      <c r="S236" s="813"/>
      <c r="T236" s="813"/>
      <c r="U236" s="813"/>
      <c r="V236" s="813"/>
      <c r="W236" s="813"/>
      <c r="X236" s="813"/>
    </row>
    <row r="237" spans="1:24" hidden="1" x14ac:dyDescent="0.2">
      <c r="A237" s="813"/>
      <c r="B237" s="813"/>
      <c r="C237" s="813"/>
      <c r="D237" s="813"/>
      <c r="E237" s="813"/>
      <c r="F237" s="813"/>
      <c r="G237" s="813"/>
      <c r="H237" s="813"/>
      <c r="I237" s="813"/>
      <c r="J237" s="813"/>
      <c r="K237" s="813"/>
      <c r="L237" s="813"/>
      <c r="M237" s="813"/>
      <c r="N237" s="813"/>
      <c r="O237" s="813"/>
      <c r="P237" s="813"/>
      <c r="Q237" s="813"/>
      <c r="R237" s="813"/>
      <c r="S237" s="813"/>
      <c r="T237" s="813"/>
      <c r="U237" s="813"/>
      <c r="V237" s="813"/>
      <c r="W237" s="813"/>
      <c r="X237" s="813"/>
    </row>
    <row r="238" spans="1:24" hidden="1" x14ac:dyDescent="0.2">
      <c r="A238" s="813"/>
      <c r="B238" s="813"/>
      <c r="C238" s="813"/>
      <c r="D238" s="813"/>
      <c r="E238" s="813"/>
      <c r="F238" s="813"/>
      <c r="G238" s="813"/>
      <c r="H238" s="813"/>
      <c r="I238" s="813"/>
      <c r="J238" s="813"/>
      <c r="K238" s="813"/>
      <c r="L238" s="813"/>
      <c r="M238" s="813"/>
      <c r="N238" s="813"/>
      <c r="O238" s="813"/>
      <c r="P238" s="813"/>
      <c r="Q238" s="813"/>
      <c r="R238" s="813"/>
      <c r="S238" s="813"/>
      <c r="T238" s="813"/>
      <c r="U238" s="813"/>
      <c r="V238" s="813"/>
      <c r="W238" s="813"/>
      <c r="X238" s="813"/>
    </row>
    <row r="239" spans="1:24" hidden="1" x14ac:dyDescent="0.2">
      <c r="A239" s="813"/>
      <c r="B239" s="813"/>
      <c r="C239" s="813"/>
      <c r="D239" s="813"/>
      <c r="E239" s="813"/>
      <c r="F239" s="813"/>
      <c r="G239" s="813"/>
      <c r="H239" s="813"/>
      <c r="I239" s="813"/>
      <c r="J239" s="813"/>
      <c r="K239" s="813"/>
      <c r="L239" s="813"/>
      <c r="M239" s="813"/>
      <c r="N239" s="813"/>
      <c r="O239" s="813"/>
      <c r="P239" s="813"/>
      <c r="Q239" s="813"/>
      <c r="R239" s="813"/>
      <c r="S239" s="813"/>
      <c r="T239" s="813"/>
      <c r="U239" s="813"/>
      <c r="V239" s="813"/>
      <c r="W239" s="813"/>
      <c r="X239" s="813"/>
    </row>
    <row r="240" spans="1:24" hidden="1" x14ac:dyDescent="0.2">
      <c r="A240" s="813"/>
      <c r="B240" s="813"/>
      <c r="C240" s="813"/>
      <c r="D240" s="813"/>
      <c r="E240" s="813"/>
      <c r="F240" s="813"/>
      <c r="G240" s="813"/>
      <c r="H240" s="813"/>
      <c r="I240" s="813"/>
      <c r="J240" s="813"/>
      <c r="K240" s="813"/>
      <c r="L240" s="813"/>
      <c r="M240" s="813"/>
      <c r="N240" s="813"/>
      <c r="O240" s="813"/>
      <c r="P240" s="813"/>
      <c r="Q240" s="813"/>
      <c r="R240" s="813"/>
      <c r="S240" s="813"/>
      <c r="T240" s="813"/>
      <c r="U240" s="813"/>
      <c r="V240" s="813"/>
      <c r="W240" s="813"/>
      <c r="X240" s="813"/>
    </row>
    <row r="241" spans="1:24" hidden="1" x14ac:dyDescent="0.2">
      <c r="A241" s="813"/>
      <c r="B241" s="813"/>
      <c r="C241" s="813"/>
      <c r="D241" s="813"/>
      <c r="E241" s="813"/>
      <c r="F241" s="813"/>
      <c r="G241" s="813"/>
      <c r="H241" s="813"/>
      <c r="I241" s="813"/>
      <c r="J241" s="813"/>
      <c r="K241" s="813"/>
      <c r="L241" s="813"/>
      <c r="M241" s="813"/>
      <c r="N241" s="813"/>
      <c r="O241" s="813"/>
      <c r="P241" s="813"/>
      <c r="Q241" s="813"/>
      <c r="R241" s="813"/>
      <c r="S241" s="813"/>
      <c r="T241" s="813"/>
      <c r="U241" s="813"/>
      <c r="V241" s="813"/>
      <c r="W241" s="813"/>
      <c r="X241" s="813"/>
    </row>
    <row r="242" spans="1:24" hidden="1" x14ac:dyDescent="0.2">
      <c r="A242" s="813"/>
      <c r="B242" s="813"/>
      <c r="C242" s="813"/>
      <c r="D242" s="813"/>
      <c r="E242" s="813"/>
      <c r="F242" s="813"/>
      <c r="G242" s="813"/>
      <c r="H242" s="813"/>
      <c r="I242" s="813"/>
      <c r="J242" s="813"/>
      <c r="K242" s="813"/>
      <c r="L242" s="813"/>
      <c r="M242" s="813"/>
      <c r="N242" s="813"/>
      <c r="O242" s="813"/>
      <c r="P242" s="813"/>
      <c r="Q242" s="813"/>
      <c r="R242" s="813"/>
      <c r="S242" s="813"/>
      <c r="T242" s="813"/>
      <c r="U242" s="813"/>
      <c r="V242" s="813"/>
      <c r="W242" s="813"/>
      <c r="X242" s="813"/>
    </row>
    <row r="243" spans="1:24" hidden="1" x14ac:dyDescent="0.2">
      <c r="A243" s="813"/>
      <c r="B243" s="813"/>
      <c r="C243" s="813"/>
      <c r="D243" s="813"/>
      <c r="E243" s="813"/>
      <c r="F243" s="813"/>
      <c r="G243" s="813"/>
      <c r="H243" s="813"/>
      <c r="I243" s="813"/>
      <c r="J243" s="813"/>
      <c r="K243" s="813"/>
      <c r="L243" s="813"/>
      <c r="M243" s="813"/>
      <c r="N243" s="813"/>
      <c r="O243" s="813"/>
      <c r="P243" s="813"/>
      <c r="Q243" s="813"/>
      <c r="R243" s="813"/>
      <c r="S243" s="813"/>
      <c r="T243" s="813"/>
      <c r="U243" s="813"/>
      <c r="V243" s="813"/>
      <c r="W243" s="813"/>
      <c r="X243" s="813"/>
    </row>
    <row r="244" spans="1:24" hidden="1" x14ac:dyDescent="0.2">
      <c r="A244" s="813"/>
      <c r="B244" s="813"/>
      <c r="C244" s="813"/>
      <c r="D244" s="813"/>
      <c r="E244" s="813"/>
      <c r="F244" s="813"/>
      <c r="G244" s="813"/>
      <c r="H244" s="813"/>
      <c r="I244" s="813"/>
      <c r="J244" s="813"/>
      <c r="K244" s="813"/>
      <c r="L244" s="813"/>
      <c r="M244" s="813"/>
      <c r="N244" s="813"/>
      <c r="O244" s="813"/>
      <c r="P244" s="813"/>
      <c r="Q244" s="813"/>
      <c r="R244" s="813"/>
      <c r="S244" s="813"/>
      <c r="T244" s="813"/>
      <c r="U244" s="813"/>
      <c r="V244" s="813"/>
      <c r="W244" s="813"/>
      <c r="X244" s="813"/>
    </row>
    <row r="245" spans="1:24" hidden="1" x14ac:dyDescent="0.2">
      <c r="A245" s="813"/>
      <c r="B245" s="813"/>
      <c r="C245" s="813"/>
      <c r="D245" s="813"/>
      <c r="E245" s="813"/>
      <c r="F245" s="813"/>
      <c r="G245" s="813"/>
      <c r="H245" s="813"/>
      <c r="I245" s="813"/>
      <c r="J245" s="813"/>
      <c r="K245" s="813"/>
      <c r="L245" s="813"/>
      <c r="M245" s="813"/>
      <c r="N245" s="813"/>
      <c r="O245" s="813"/>
      <c r="P245" s="813"/>
      <c r="Q245" s="813"/>
      <c r="R245" s="813"/>
      <c r="S245" s="813"/>
      <c r="T245" s="813"/>
      <c r="U245" s="813"/>
      <c r="V245" s="813"/>
      <c r="W245" s="813"/>
      <c r="X245" s="813"/>
    </row>
    <row r="246" spans="1:24" hidden="1" x14ac:dyDescent="0.2">
      <c r="A246" s="813"/>
      <c r="B246" s="813"/>
      <c r="C246" s="813"/>
      <c r="D246" s="813"/>
      <c r="E246" s="813"/>
      <c r="F246" s="813"/>
      <c r="G246" s="813"/>
      <c r="H246" s="813"/>
      <c r="I246" s="813"/>
      <c r="J246" s="813"/>
      <c r="K246" s="813"/>
      <c r="L246" s="813"/>
      <c r="M246" s="813"/>
      <c r="N246" s="813"/>
      <c r="O246" s="813"/>
      <c r="P246" s="813"/>
      <c r="Q246" s="813"/>
      <c r="R246" s="813"/>
      <c r="S246" s="813"/>
      <c r="T246" s="813"/>
      <c r="U246" s="813"/>
      <c r="V246" s="813"/>
      <c r="W246" s="813"/>
      <c r="X246" s="813"/>
    </row>
    <row r="247" spans="1:24" hidden="1" x14ac:dyDescent="0.2">
      <c r="A247" s="813"/>
      <c r="B247" s="813"/>
      <c r="C247" s="813"/>
      <c r="D247" s="813"/>
      <c r="E247" s="813"/>
      <c r="F247" s="813"/>
      <c r="G247" s="813"/>
      <c r="H247" s="813"/>
      <c r="I247" s="813"/>
      <c r="J247" s="813"/>
      <c r="K247" s="813"/>
      <c r="L247" s="813"/>
      <c r="M247" s="813"/>
      <c r="N247" s="813"/>
      <c r="O247" s="813"/>
      <c r="P247" s="813"/>
      <c r="Q247" s="813"/>
      <c r="R247" s="813"/>
      <c r="S247" s="813"/>
      <c r="T247" s="813"/>
      <c r="U247" s="813"/>
      <c r="V247" s="813"/>
      <c r="W247" s="813"/>
      <c r="X247" s="813"/>
    </row>
    <row r="248" spans="1:24" hidden="1" x14ac:dyDescent="0.2">
      <c r="A248" s="813"/>
      <c r="B248" s="813"/>
      <c r="C248" s="813"/>
      <c r="D248" s="813"/>
      <c r="E248" s="813"/>
      <c r="F248" s="813"/>
      <c r="G248" s="813"/>
      <c r="H248" s="813"/>
      <c r="I248" s="813"/>
      <c r="J248" s="813"/>
      <c r="K248" s="813"/>
      <c r="L248" s="813"/>
      <c r="M248" s="813"/>
      <c r="N248" s="813"/>
      <c r="O248" s="813"/>
      <c r="P248" s="813"/>
      <c r="Q248" s="813"/>
      <c r="R248" s="813"/>
      <c r="S248" s="813"/>
      <c r="T248" s="813"/>
      <c r="U248" s="813"/>
      <c r="V248" s="813"/>
      <c r="W248" s="813"/>
      <c r="X248" s="813"/>
    </row>
    <row r="249" spans="1:24" hidden="1" x14ac:dyDescent="0.2">
      <c r="A249" s="813"/>
      <c r="B249" s="813"/>
      <c r="C249" s="813"/>
      <c r="D249" s="813"/>
      <c r="E249" s="813"/>
      <c r="F249" s="813"/>
      <c r="G249" s="813"/>
      <c r="H249" s="813"/>
      <c r="I249" s="813"/>
      <c r="J249" s="813"/>
      <c r="K249" s="813"/>
      <c r="L249" s="813"/>
      <c r="M249" s="813"/>
      <c r="N249" s="813"/>
      <c r="O249" s="813"/>
      <c r="P249" s="813"/>
      <c r="Q249" s="813"/>
      <c r="R249" s="813"/>
      <c r="S249" s="813"/>
      <c r="T249" s="813"/>
      <c r="U249" s="813"/>
      <c r="V249" s="813"/>
      <c r="W249" s="813"/>
      <c r="X249" s="813"/>
    </row>
    <row r="250" spans="1:24" hidden="1" x14ac:dyDescent="0.2">
      <c r="A250" s="813"/>
      <c r="B250" s="813"/>
      <c r="C250" s="813"/>
      <c r="D250" s="813"/>
      <c r="E250" s="813"/>
      <c r="F250" s="813"/>
      <c r="G250" s="813"/>
      <c r="H250" s="813"/>
      <c r="I250" s="813"/>
      <c r="J250" s="813"/>
      <c r="K250" s="813"/>
      <c r="L250" s="813"/>
      <c r="M250" s="813"/>
      <c r="N250" s="813"/>
      <c r="O250" s="813"/>
      <c r="P250" s="813"/>
      <c r="Q250" s="813"/>
      <c r="R250" s="813"/>
      <c r="S250" s="813"/>
      <c r="T250" s="813"/>
      <c r="U250" s="813"/>
      <c r="V250" s="813"/>
      <c r="W250" s="813"/>
      <c r="X250" s="813"/>
    </row>
    <row r="251" spans="1:24" hidden="1" x14ac:dyDescent="0.2">
      <c r="A251" s="813"/>
      <c r="B251" s="813"/>
      <c r="C251" s="813"/>
      <c r="D251" s="813"/>
      <c r="E251" s="813"/>
      <c r="F251" s="813"/>
      <c r="G251" s="813"/>
      <c r="H251" s="813"/>
      <c r="I251" s="813"/>
      <c r="J251" s="813"/>
      <c r="K251" s="813"/>
      <c r="L251" s="813"/>
      <c r="M251" s="813"/>
      <c r="N251" s="813"/>
      <c r="O251" s="813"/>
      <c r="P251" s="813"/>
      <c r="Q251" s="813"/>
      <c r="R251" s="813"/>
      <c r="S251" s="813"/>
      <c r="T251" s="813"/>
      <c r="U251" s="813"/>
      <c r="V251" s="813"/>
      <c r="W251" s="813"/>
      <c r="X251" s="813"/>
    </row>
    <row r="252" spans="1:24" hidden="1" x14ac:dyDescent="0.2">
      <c r="A252" s="813"/>
      <c r="B252" s="813"/>
      <c r="C252" s="813"/>
      <c r="D252" s="813"/>
      <c r="E252" s="813"/>
      <c r="F252" s="813"/>
      <c r="G252" s="813"/>
      <c r="H252" s="813"/>
      <c r="I252" s="813"/>
      <c r="J252" s="813"/>
      <c r="K252" s="813"/>
      <c r="L252" s="813"/>
      <c r="M252" s="813"/>
      <c r="N252" s="813"/>
      <c r="O252" s="813"/>
      <c r="P252" s="813"/>
      <c r="Q252" s="813"/>
      <c r="R252" s="813"/>
      <c r="S252" s="813"/>
      <c r="T252" s="813"/>
      <c r="U252" s="813"/>
      <c r="V252" s="813"/>
      <c r="W252" s="813"/>
      <c r="X252" s="813"/>
    </row>
    <row r="253" spans="1:24" hidden="1" x14ac:dyDescent="0.2">
      <c r="A253" s="813"/>
      <c r="B253" s="813"/>
      <c r="C253" s="813"/>
      <c r="D253" s="813"/>
      <c r="E253" s="813"/>
      <c r="F253" s="813"/>
      <c r="G253" s="813"/>
      <c r="H253" s="813"/>
      <c r="I253" s="813"/>
      <c r="J253" s="813"/>
      <c r="K253" s="813"/>
      <c r="L253" s="813"/>
      <c r="M253" s="813"/>
      <c r="N253" s="813"/>
      <c r="O253" s="813"/>
      <c r="P253" s="813"/>
      <c r="Q253" s="813"/>
      <c r="R253" s="813"/>
      <c r="S253" s="813"/>
      <c r="T253" s="813"/>
      <c r="U253" s="813"/>
      <c r="V253" s="813"/>
      <c r="W253" s="813"/>
      <c r="X253" s="813"/>
    </row>
    <row r="254" spans="1:24" hidden="1" x14ac:dyDescent="0.2">
      <c r="A254" s="813"/>
      <c r="B254" s="813"/>
      <c r="C254" s="813"/>
      <c r="D254" s="813"/>
      <c r="E254" s="813"/>
      <c r="F254" s="813"/>
      <c r="G254" s="813"/>
      <c r="H254" s="813"/>
      <c r="I254" s="813"/>
      <c r="J254" s="813"/>
      <c r="K254" s="813"/>
      <c r="L254" s="813"/>
      <c r="M254" s="813"/>
      <c r="N254" s="813"/>
      <c r="O254" s="813"/>
      <c r="P254" s="813"/>
      <c r="Q254" s="813"/>
      <c r="R254" s="813"/>
      <c r="S254" s="813"/>
      <c r="T254" s="813"/>
      <c r="U254" s="813"/>
      <c r="V254" s="813"/>
      <c r="W254" s="813"/>
      <c r="X254" s="813"/>
    </row>
    <row r="255" spans="1:24" hidden="1" x14ac:dyDescent="0.2">
      <c r="A255" s="813"/>
      <c r="B255" s="813"/>
      <c r="C255" s="813"/>
      <c r="D255" s="813"/>
      <c r="E255" s="813"/>
      <c r="F255" s="813"/>
      <c r="G255" s="813"/>
      <c r="H255" s="813"/>
      <c r="I255" s="813"/>
      <c r="J255" s="813"/>
      <c r="K255" s="813"/>
      <c r="L255" s="813"/>
      <c r="M255" s="813"/>
      <c r="N255" s="813"/>
      <c r="O255" s="813"/>
      <c r="P255" s="813"/>
      <c r="Q255" s="813"/>
      <c r="R255" s="813"/>
      <c r="S255" s="813"/>
      <c r="T255" s="813"/>
      <c r="U255" s="813"/>
      <c r="V255" s="813"/>
      <c r="W255" s="813"/>
      <c r="X255" s="813"/>
    </row>
    <row r="256" spans="1:24" hidden="1" x14ac:dyDescent="0.2">
      <c r="A256" s="813"/>
      <c r="B256" s="813"/>
      <c r="C256" s="813"/>
      <c r="D256" s="813"/>
      <c r="E256" s="813"/>
      <c r="F256" s="813"/>
      <c r="G256" s="813"/>
      <c r="H256" s="813"/>
      <c r="I256" s="813"/>
      <c r="J256" s="813"/>
      <c r="K256" s="813"/>
      <c r="L256" s="813"/>
      <c r="M256" s="813"/>
      <c r="N256" s="813"/>
      <c r="O256" s="813"/>
      <c r="P256" s="813"/>
      <c r="Q256" s="813"/>
      <c r="R256" s="813"/>
      <c r="S256" s="813"/>
      <c r="T256" s="813"/>
      <c r="U256" s="813"/>
      <c r="V256" s="813"/>
      <c r="W256" s="813"/>
      <c r="X256" s="813"/>
    </row>
    <row r="257" spans="1:24" hidden="1" x14ac:dyDescent="0.2">
      <c r="A257" s="813"/>
      <c r="B257" s="813"/>
      <c r="C257" s="813"/>
      <c r="D257" s="813"/>
      <c r="E257" s="813"/>
      <c r="F257" s="813"/>
      <c r="G257" s="813"/>
      <c r="H257" s="813"/>
      <c r="I257" s="813"/>
      <c r="J257" s="813"/>
      <c r="K257" s="813"/>
      <c r="L257" s="813"/>
      <c r="M257" s="813"/>
      <c r="N257" s="813"/>
      <c r="O257" s="813"/>
      <c r="P257" s="813"/>
      <c r="Q257" s="813"/>
      <c r="R257" s="813"/>
      <c r="S257" s="813"/>
      <c r="T257" s="813"/>
      <c r="U257" s="813"/>
      <c r="V257" s="813"/>
      <c r="W257" s="813"/>
      <c r="X257" s="813"/>
    </row>
    <row r="258" spans="1:24" hidden="1" x14ac:dyDescent="0.2">
      <c r="A258" s="813"/>
      <c r="B258" s="813"/>
      <c r="C258" s="813"/>
      <c r="D258" s="813"/>
      <c r="E258" s="813"/>
      <c r="F258" s="813"/>
      <c r="G258" s="813"/>
      <c r="H258" s="813"/>
      <c r="I258" s="813"/>
      <c r="J258" s="813"/>
      <c r="K258" s="813"/>
      <c r="L258" s="813"/>
      <c r="M258" s="813"/>
      <c r="N258" s="813"/>
      <c r="O258" s="813"/>
      <c r="P258" s="813"/>
      <c r="Q258" s="813"/>
      <c r="R258" s="813"/>
      <c r="S258" s="813"/>
      <c r="T258" s="813"/>
      <c r="U258" s="813"/>
      <c r="V258" s="813"/>
      <c r="W258" s="813"/>
      <c r="X258" s="813"/>
    </row>
    <row r="259" spans="1:24" hidden="1" x14ac:dyDescent="0.2">
      <c r="A259" s="813"/>
      <c r="B259" s="813"/>
      <c r="C259" s="813"/>
      <c r="D259" s="813"/>
      <c r="E259" s="813"/>
      <c r="F259" s="813"/>
      <c r="G259" s="813"/>
      <c r="H259" s="813"/>
      <c r="I259" s="813"/>
      <c r="J259" s="813"/>
      <c r="K259" s="813"/>
      <c r="L259" s="813"/>
      <c r="M259" s="813"/>
      <c r="N259" s="813"/>
      <c r="O259" s="813"/>
      <c r="P259" s="813"/>
      <c r="Q259" s="813"/>
      <c r="R259" s="813"/>
      <c r="S259" s="813"/>
      <c r="T259" s="813"/>
      <c r="U259" s="813"/>
      <c r="V259" s="813"/>
      <c r="W259" s="813"/>
      <c r="X259" s="813"/>
    </row>
    <row r="260" spans="1:24" hidden="1" x14ac:dyDescent="0.2">
      <c r="A260" s="813"/>
      <c r="B260" s="813"/>
      <c r="C260" s="813"/>
      <c r="D260" s="813"/>
      <c r="E260" s="813"/>
      <c r="F260" s="813"/>
      <c r="G260" s="813"/>
      <c r="H260" s="813"/>
      <c r="I260" s="813"/>
      <c r="J260" s="813"/>
      <c r="K260" s="813"/>
      <c r="L260" s="813"/>
      <c r="M260" s="813"/>
      <c r="N260" s="813"/>
      <c r="O260" s="813"/>
      <c r="P260" s="813"/>
      <c r="Q260" s="813"/>
      <c r="R260" s="813"/>
      <c r="S260" s="813"/>
      <c r="T260" s="813"/>
      <c r="U260" s="813"/>
      <c r="V260" s="813"/>
      <c r="W260" s="813"/>
      <c r="X260" s="813"/>
    </row>
    <row r="261" spans="1:24" hidden="1" x14ac:dyDescent="0.2">
      <c r="A261" s="813"/>
      <c r="B261" s="813"/>
      <c r="C261" s="813"/>
      <c r="D261" s="813"/>
      <c r="E261" s="813"/>
      <c r="F261" s="813"/>
      <c r="G261" s="813"/>
      <c r="H261" s="813"/>
      <c r="I261" s="813"/>
      <c r="J261" s="813"/>
      <c r="K261" s="813"/>
      <c r="L261" s="813"/>
      <c r="M261" s="813"/>
      <c r="N261" s="813"/>
      <c r="O261" s="813"/>
      <c r="P261" s="813"/>
      <c r="Q261" s="813"/>
      <c r="R261" s="813"/>
      <c r="S261" s="813"/>
      <c r="T261" s="813"/>
      <c r="U261" s="813"/>
      <c r="V261" s="813"/>
      <c r="W261" s="813"/>
      <c r="X261" s="813"/>
    </row>
    <row r="262" spans="1:24" hidden="1" x14ac:dyDescent="0.2">
      <c r="A262" s="813"/>
      <c r="B262" s="813"/>
      <c r="C262" s="813"/>
      <c r="D262" s="813"/>
      <c r="E262" s="813"/>
      <c r="F262" s="813"/>
      <c r="G262" s="813"/>
      <c r="H262" s="813"/>
      <c r="I262" s="813"/>
      <c r="J262" s="813"/>
      <c r="K262" s="813"/>
      <c r="L262" s="813"/>
      <c r="M262" s="813"/>
      <c r="N262" s="813"/>
      <c r="O262" s="813"/>
      <c r="P262" s="813"/>
      <c r="Q262" s="813"/>
      <c r="R262" s="813"/>
      <c r="S262" s="813"/>
      <c r="T262" s="813"/>
      <c r="U262" s="813"/>
      <c r="V262" s="813"/>
      <c r="W262" s="813"/>
      <c r="X262" s="813"/>
    </row>
    <row r="263" spans="1:24" hidden="1" x14ac:dyDescent="0.2">
      <c r="A263" s="813"/>
      <c r="B263" s="813"/>
      <c r="C263" s="813"/>
      <c r="D263" s="813"/>
      <c r="E263" s="813"/>
      <c r="F263" s="813"/>
      <c r="G263" s="813"/>
      <c r="H263" s="813"/>
      <c r="I263" s="813"/>
      <c r="J263" s="813"/>
      <c r="K263" s="813"/>
      <c r="L263" s="813"/>
      <c r="M263" s="813"/>
      <c r="N263" s="813"/>
      <c r="O263" s="813"/>
      <c r="P263" s="813"/>
      <c r="Q263" s="813"/>
      <c r="R263" s="813"/>
      <c r="S263" s="813"/>
      <c r="T263" s="813"/>
      <c r="U263" s="813"/>
      <c r="V263" s="813"/>
      <c r="W263" s="813"/>
      <c r="X263" s="813"/>
    </row>
    <row r="264" spans="1:24" hidden="1" x14ac:dyDescent="0.2">
      <c r="A264" s="813"/>
      <c r="B264" s="813"/>
      <c r="C264" s="813"/>
      <c r="D264" s="813"/>
      <c r="E264" s="813"/>
      <c r="F264" s="813"/>
      <c r="G264" s="813"/>
      <c r="H264" s="813"/>
      <c r="I264" s="813"/>
      <c r="J264" s="813"/>
      <c r="K264" s="813"/>
      <c r="L264" s="813"/>
      <c r="M264" s="813"/>
      <c r="N264" s="813"/>
      <c r="O264" s="813"/>
      <c r="P264" s="813"/>
      <c r="Q264" s="813"/>
      <c r="R264" s="813"/>
      <c r="S264" s="813"/>
      <c r="T264" s="813"/>
      <c r="U264" s="813"/>
      <c r="V264" s="813"/>
      <c r="W264" s="813"/>
      <c r="X264" s="813"/>
    </row>
    <row r="265" spans="1:24" hidden="1" x14ac:dyDescent="0.2">
      <c r="A265" s="813"/>
      <c r="B265" s="813"/>
      <c r="C265" s="813"/>
      <c r="D265" s="813"/>
      <c r="E265" s="813"/>
      <c r="F265" s="813"/>
      <c r="G265" s="813"/>
      <c r="H265" s="813"/>
      <c r="I265" s="813"/>
      <c r="J265" s="813"/>
      <c r="K265" s="813"/>
      <c r="L265" s="813"/>
      <c r="M265" s="813"/>
      <c r="N265" s="813"/>
      <c r="O265" s="813"/>
      <c r="P265" s="813"/>
      <c r="Q265" s="813"/>
      <c r="R265" s="813"/>
      <c r="S265" s="813"/>
      <c r="T265" s="813"/>
      <c r="U265" s="813"/>
      <c r="V265" s="813"/>
      <c r="W265" s="813"/>
      <c r="X265" s="813"/>
    </row>
    <row r="266" spans="1:24" hidden="1" x14ac:dyDescent="0.2">
      <c r="A266" s="813"/>
      <c r="B266" s="813"/>
      <c r="C266" s="813"/>
      <c r="D266" s="813"/>
      <c r="E266" s="813"/>
      <c r="F266" s="813"/>
      <c r="G266" s="813"/>
      <c r="H266" s="813"/>
      <c r="I266" s="813"/>
      <c r="J266" s="813"/>
      <c r="K266" s="813"/>
      <c r="L266" s="813"/>
      <c r="M266" s="813"/>
      <c r="N266" s="813"/>
      <c r="O266" s="813"/>
      <c r="P266" s="813"/>
      <c r="Q266" s="813"/>
      <c r="R266" s="813"/>
      <c r="S266" s="813"/>
      <c r="T266" s="813"/>
      <c r="U266" s="813"/>
      <c r="V266" s="813"/>
      <c r="W266" s="813"/>
      <c r="X266" s="813"/>
    </row>
    <row r="267" spans="1:24" hidden="1" x14ac:dyDescent="0.2">
      <c r="A267" s="813"/>
      <c r="B267" s="813"/>
      <c r="C267" s="813"/>
      <c r="D267" s="813"/>
      <c r="E267" s="813"/>
      <c r="F267" s="813"/>
      <c r="G267" s="813"/>
      <c r="H267" s="813"/>
      <c r="I267" s="813"/>
      <c r="J267" s="813"/>
      <c r="K267" s="813"/>
      <c r="L267" s="813"/>
      <c r="M267" s="813"/>
      <c r="N267" s="813"/>
      <c r="O267" s="813"/>
      <c r="P267" s="813"/>
      <c r="Q267" s="813"/>
      <c r="R267" s="813"/>
      <c r="S267" s="813"/>
      <c r="T267" s="813"/>
      <c r="U267" s="813"/>
      <c r="V267" s="813"/>
      <c r="W267" s="813"/>
      <c r="X267" s="813"/>
    </row>
    <row r="268" spans="1:24" hidden="1" x14ac:dyDescent="0.2">
      <c r="A268" s="813"/>
      <c r="B268" s="813"/>
      <c r="C268" s="813"/>
      <c r="D268" s="813"/>
      <c r="E268" s="813"/>
      <c r="F268" s="813"/>
      <c r="G268" s="813"/>
      <c r="H268" s="813"/>
      <c r="I268" s="813"/>
      <c r="J268" s="813"/>
      <c r="K268" s="813"/>
      <c r="L268" s="813"/>
      <c r="M268" s="813"/>
      <c r="N268" s="813"/>
      <c r="O268" s="813"/>
      <c r="P268" s="813"/>
      <c r="Q268" s="813"/>
      <c r="R268" s="813"/>
      <c r="S268" s="813"/>
      <c r="T268" s="813"/>
      <c r="U268" s="813"/>
      <c r="V268" s="813"/>
      <c r="W268" s="813"/>
      <c r="X268" s="813"/>
    </row>
    <row r="269" spans="1:24" hidden="1" x14ac:dyDescent="0.2">
      <c r="A269" s="813"/>
      <c r="B269" s="813"/>
      <c r="C269" s="813"/>
      <c r="D269" s="813"/>
      <c r="E269" s="813"/>
      <c r="F269" s="813"/>
      <c r="G269" s="813"/>
      <c r="H269" s="813"/>
      <c r="I269" s="813"/>
      <c r="J269" s="813"/>
      <c r="K269" s="813"/>
      <c r="L269" s="813"/>
      <c r="M269" s="813"/>
      <c r="N269" s="813"/>
      <c r="O269" s="813"/>
      <c r="P269" s="813"/>
      <c r="Q269" s="813"/>
      <c r="R269" s="813"/>
      <c r="S269" s="813"/>
      <c r="T269" s="813"/>
      <c r="U269" s="813"/>
      <c r="V269" s="813"/>
      <c r="W269" s="813"/>
      <c r="X269" s="813"/>
    </row>
    <row r="270" spans="1:24" hidden="1" x14ac:dyDescent="0.2">
      <c r="A270" s="813"/>
      <c r="B270" s="813"/>
      <c r="C270" s="813"/>
      <c r="D270" s="813"/>
      <c r="E270" s="813"/>
      <c r="F270" s="813"/>
      <c r="G270" s="813"/>
      <c r="H270" s="813"/>
      <c r="I270" s="813"/>
      <c r="J270" s="813"/>
      <c r="K270" s="813"/>
      <c r="L270" s="813"/>
      <c r="M270" s="813"/>
      <c r="N270" s="813"/>
      <c r="O270" s="813"/>
      <c r="P270" s="813"/>
      <c r="Q270" s="813"/>
      <c r="R270" s="813"/>
      <c r="S270" s="813"/>
      <c r="T270" s="813"/>
      <c r="U270" s="813"/>
      <c r="V270" s="813"/>
      <c r="W270" s="813"/>
      <c r="X270" s="813"/>
    </row>
    <row r="271" spans="1:24" hidden="1" x14ac:dyDescent="0.2">
      <c r="A271" s="813"/>
      <c r="B271" s="813"/>
      <c r="C271" s="813"/>
      <c r="D271" s="813"/>
      <c r="E271" s="813"/>
      <c r="F271" s="813"/>
      <c r="G271" s="813"/>
      <c r="H271" s="813"/>
      <c r="I271" s="813"/>
      <c r="J271" s="813"/>
      <c r="K271" s="813"/>
      <c r="L271" s="813"/>
      <c r="M271" s="813"/>
      <c r="N271" s="813"/>
      <c r="O271" s="813"/>
      <c r="P271" s="813"/>
      <c r="Q271" s="813"/>
      <c r="R271" s="813"/>
      <c r="S271" s="813"/>
      <c r="T271" s="813"/>
      <c r="U271" s="813"/>
      <c r="V271" s="813"/>
      <c r="W271" s="813"/>
      <c r="X271" s="813"/>
    </row>
    <row r="272" spans="1:24" hidden="1" x14ac:dyDescent="0.2">
      <c r="A272" s="813"/>
      <c r="B272" s="813"/>
      <c r="C272" s="813"/>
      <c r="D272" s="813"/>
      <c r="E272" s="813"/>
      <c r="F272" s="813"/>
      <c r="G272" s="813"/>
      <c r="H272" s="813"/>
      <c r="I272" s="813"/>
      <c r="J272" s="813"/>
      <c r="K272" s="813"/>
      <c r="L272" s="813"/>
      <c r="M272" s="813"/>
      <c r="N272" s="813"/>
      <c r="O272" s="813"/>
      <c r="P272" s="813"/>
      <c r="Q272" s="813"/>
      <c r="R272" s="813"/>
      <c r="S272" s="813"/>
      <c r="T272" s="813"/>
      <c r="U272" s="813"/>
      <c r="V272" s="813"/>
      <c r="W272" s="813"/>
      <c r="X272" s="813"/>
    </row>
    <row r="273" spans="1:24" hidden="1" x14ac:dyDescent="0.2">
      <c r="A273" s="813"/>
      <c r="B273" s="813"/>
      <c r="C273" s="813"/>
      <c r="D273" s="813"/>
      <c r="E273" s="813"/>
      <c r="F273" s="813"/>
      <c r="G273" s="813"/>
      <c r="H273" s="813"/>
      <c r="I273" s="813"/>
      <c r="J273" s="813"/>
      <c r="K273" s="813"/>
      <c r="L273" s="813"/>
      <c r="M273" s="813"/>
      <c r="N273" s="813"/>
      <c r="O273" s="813"/>
      <c r="P273" s="813"/>
      <c r="Q273" s="813"/>
      <c r="R273" s="813"/>
      <c r="S273" s="813"/>
      <c r="T273" s="813"/>
      <c r="U273" s="813"/>
      <c r="V273" s="813"/>
      <c r="W273" s="813"/>
      <c r="X273" s="813"/>
    </row>
    <row r="274" spans="1:24" hidden="1" x14ac:dyDescent="0.2">
      <c r="A274" s="813"/>
      <c r="B274" s="813"/>
      <c r="C274" s="813"/>
      <c r="D274" s="813"/>
      <c r="E274" s="813"/>
      <c r="F274" s="813"/>
      <c r="G274" s="813"/>
      <c r="H274" s="813"/>
      <c r="I274" s="813"/>
      <c r="J274" s="813"/>
      <c r="K274" s="813"/>
      <c r="L274" s="813"/>
      <c r="M274" s="813"/>
      <c r="N274" s="813"/>
      <c r="O274" s="813"/>
      <c r="P274" s="813"/>
      <c r="Q274" s="813"/>
      <c r="R274" s="813"/>
      <c r="S274" s="813"/>
      <c r="T274" s="813"/>
      <c r="U274" s="813"/>
      <c r="V274" s="813"/>
      <c r="W274" s="813"/>
      <c r="X274" s="813"/>
    </row>
    <row r="275" spans="1:24" hidden="1" x14ac:dyDescent="0.2">
      <c r="A275" s="813"/>
      <c r="B275" s="813"/>
      <c r="C275" s="813"/>
      <c r="D275" s="813"/>
      <c r="E275" s="813"/>
      <c r="F275" s="813"/>
      <c r="G275" s="813"/>
      <c r="H275" s="813"/>
      <c r="I275" s="813"/>
      <c r="J275" s="813"/>
      <c r="K275" s="813"/>
      <c r="L275" s="813"/>
      <c r="M275" s="813"/>
      <c r="N275" s="813"/>
      <c r="O275" s="813"/>
      <c r="P275" s="813"/>
      <c r="Q275" s="813"/>
      <c r="R275" s="813"/>
      <c r="S275" s="813"/>
      <c r="T275" s="813"/>
      <c r="U275" s="813"/>
      <c r="V275" s="813"/>
      <c r="W275" s="813"/>
      <c r="X275" s="813"/>
    </row>
    <row r="276" spans="1:24" hidden="1" x14ac:dyDescent="0.2">
      <c r="A276" s="813"/>
      <c r="B276" s="813"/>
      <c r="C276" s="813"/>
      <c r="D276" s="813"/>
      <c r="E276" s="813"/>
      <c r="F276" s="813"/>
      <c r="G276" s="813"/>
      <c r="H276" s="813"/>
      <c r="I276" s="813"/>
      <c r="J276" s="813"/>
      <c r="K276" s="813"/>
      <c r="L276" s="813"/>
      <c r="M276" s="813"/>
      <c r="N276" s="813"/>
      <c r="O276" s="813"/>
      <c r="P276" s="813"/>
      <c r="Q276" s="813"/>
      <c r="R276" s="813"/>
      <c r="S276" s="813"/>
      <c r="T276" s="813"/>
      <c r="U276" s="813"/>
      <c r="V276" s="813"/>
      <c r="W276" s="813"/>
      <c r="X276" s="813"/>
    </row>
    <row r="277" spans="1:24" hidden="1" x14ac:dyDescent="0.2">
      <c r="A277" s="813"/>
      <c r="B277" s="813"/>
      <c r="C277" s="813"/>
      <c r="D277" s="813"/>
      <c r="E277" s="813"/>
      <c r="F277" s="813"/>
      <c r="G277" s="813"/>
      <c r="H277" s="813"/>
      <c r="I277" s="813"/>
      <c r="J277" s="813"/>
      <c r="K277" s="813"/>
      <c r="L277" s="813"/>
      <c r="M277" s="813"/>
      <c r="N277" s="813"/>
      <c r="O277" s="813"/>
      <c r="P277" s="813"/>
      <c r="Q277" s="813"/>
      <c r="R277" s="813"/>
      <c r="S277" s="813"/>
      <c r="T277" s="813"/>
      <c r="U277" s="813"/>
      <c r="V277" s="813"/>
      <c r="W277" s="813"/>
      <c r="X277" s="813"/>
    </row>
    <row r="278" spans="1:24" hidden="1" x14ac:dyDescent="0.2">
      <c r="A278" s="813"/>
      <c r="B278" s="813"/>
      <c r="C278" s="813"/>
      <c r="D278" s="813"/>
      <c r="E278" s="813"/>
      <c r="F278" s="813"/>
      <c r="G278" s="813"/>
      <c r="H278" s="813"/>
      <c r="I278" s="813"/>
      <c r="J278" s="813"/>
      <c r="K278" s="813"/>
      <c r="L278" s="813"/>
      <c r="M278" s="813"/>
      <c r="N278" s="813"/>
      <c r="O278" s="813"/>
      <c r="P278" s="813"/>
      <c r="Q278" s="813"/>
      <c r="R278" s="813"/>
      <c r="S278" s="813"/>
      <c r="T278" s="813"/>
      <c r="U278" s="813"/>
      <c r="V278" s="813"/>
      <c r="W278" s="813"/>
      <c r="X278" s="813"/>
    </row>
    <row r="279" spans="1:24" hidden="1" x14ac:dyDescent="0.2">
      <c r="A279" s="813"/>
      <c r="B279" s="813"/>
      <c r="C279" s="813"/>
      <c r="D279" s="813"/>
      <c r="E279" s="813"/>
      <c r="F279" s="813"/>
      <c r="G279" s="813"/>
      <c r="H279" s="813"/>
      <c r="I279" s="813"/>
      <c r="J279" s="813"/>
      <c r="K279" s="813"/>
      <c r="L279" s="813"/>
      <c r="M279" s="813"/>
      <c r="N279" s="813"/>
      <c r="O279" s="813"/>
      <c r="P279" s="813"/>
      <c r="Q279" s="813"/>
      <c r="R279" s="813"/>
      <c r="S279" s="813"/>
      <c r="T279" s="813"/>
      <c r="U279" s="813"/>
      <c r="V279" s="813"/>
      <c r="W279" s="813"/>
      <c r="X279" s="813"/>
    </row>
    <row r="280" spans="1:24" hidden="1" x14ac:dyDescent="0.2">
      <c r="A280" s="813"/>
      <c r="B280" s="813"/>
      <c r="C280" s="813"/>
      <c r="D280" s="813"/>
      <c r="E280" s="813"/>
      <c r="F280" s="813"/>
      <c r="G280" s="813"/>
      <c r="H280" s="813"/>
      <c r="I280" s="813"/>
      <c r="J280" s="813"/>
      <c r="K280" s="813"/>
      <c r="L280" s="813"/>
      <c r="M280" s="813"/>
      <c r="N280" s="813"/>
      <c r="O280" s="813"/>
      <c r="P280" s="813"/>
      <c r="Q280" s="813"/>
      <c r="R280" s="813"/>
      <c r="S280" s="813"/>
      <c r="T280" s="813"/>
      <c r="U280" s="813"/>
      <c r="V280" s="813"/>
      <c r="W280" s="813"/>
      <c r="X280" s="813"/>
    </row>
    <row r="281" spans="1:24" hidden="1" x14ac:dyDescent="0.2">
      <c r="A281" s="813"/>
      <c r="B281" s="813"/>
      <c r="C281" s="813"/>
      <c r="D281" s="813"/>
      <c r="E281" s="813"/>
      <c r="F281" s="813"/>
      <c r="G281" s="813"/>
      <c r="H281" s="813"/>
      <c r="I281" s="813"/>
      <c r="J281" s="813"/>
      <c r="K281" s="813"/>
      <c r="L281" s="813"/>
      <c r="M281" s="813"/>
      <c r="N281" s="813"/>
      <c r="O281" s="813"/>
      <c r="P281" s="813"/>
      <c r="Q281" s="813"/>
      <c r="R281" s="813"/>
      <c r="S281" s="813"/>
      <c r="T281" s="813"/>
      <c r="U281" s="813"/>
      <c r="V281" s="813"/>
      <c r="W281" s="813"/>
      <c r="X281" s="813"/>
    </row>
    <row r="282" spans="1:24" hidden="1" x14ac:dyDescent="0.2">
      <c r="A282" s="813"/>
      <c r="B282" s="813"/>
      <c r="C282" s="813"/>
      <c r="D282" s="813"/>
      <c r="E282" s="813"/>
      <c r="F282" s="813"/>
      <c r="G282" s="813"/>
      <c r="H282" s="813"/>
      <c r="I282" s="813"/>
      <c r="J282" s="813"/>
      <c r="K282" s="813"/>
      <c r="L282" s="813"/>
      <c r="M282" s="813"/>
      <c r="N282" s="813"/>
      <c r="O282" s="813"/>
      <c r="P282" s="813"/>
      <c r="Q282" s="813"/>
      <c r="R282" s="813"/>
      <c r="S282" s="813"/>
      <c r="T282" s="813"/>
      <c r="U282" s="813"/>
      <c r="V282" s="813"/>
      <c r="W282" s="813"/>
      <c r="X282" s="813"/>
    </row>
    <row r="283" spans="1:24" hidden="1" x14ac:dyDescent="0.2">
      <c r="A283" s="813"/>
      <c r="B283" s="813"/>
      <c r="C283" s="813"/>
      <c r="D283" s="813"/>
      <c r="E283" s="813"/>
      <c r="F283" s="813"/>
      <c r="G283" s="813"/>
      <c r="H283" s="813"/>
      <c r="I283" s="813"/>
      <c r="J283" s="813"/>
      <c r="K283" s="813"/>
      <c r="L283" s="813"/>
      <c r="M283" s="813"/>
      <c r="N283" s="813"/>
      <c r="O283" s="813"/>
      <c r="P283" s="813"/>
      <c r="Q283" s="813"/>
      <c r="R283" s="813"/>
      <c r="S283" s="813"/>
      <c r="T283" s="813"/>
      <c r="U283" s="813"/>
      <c r="V283" s="813"/>
      <c r="W283" s="813"/>
      <c r="X283" s="813"/>
    </row>
    <row r="284" spans="1:24" hidden="1" x14ac:dyDescent="0.2">
      <c r="A284" s="813"/>
      <c r="B284" s="813"/>
      <c r="C284" s="813"/>
      <c r="D284" s="813"/>
      <c r="E284" s="813"/>
      <c r="F284" s="813"/>
      <c r="G284" s="813"/>
      <c r="H284" s="813"/>
      <c r="I284" s="813"/>
      <c r="J284" s="813"/>
      <c r="K284" s="813"/>
      <c r="L284" s="813"/>
      <c r="M284" s="813"/>
      <c r="N284" s="813"/>
      <c r="O284" s="813"/>
      <c r="P284" s="813"/>
      <c r="Q284" s="813"/>
      <c r="R284" s="813"/>
      <c r="S284" s="813"/>
      <c r="T284" s="813"/>
      <c r="U284" s="813"/>
      <c r="V284" s="813"/>
      <c r="W284" s="813"/>
      <c r="X284" s="813"/>
    </row>
    <row r="285" spans="1:24" hidden="1" x14ac:dyDescent="0.2">
      <c r="A285" s="813"/>
      <c r="B285" s="813"/>
      <c r="C285" s="813"/>
      <c r="D285" s="813"/>
      <c r="E285" s="813"/>
      <c r="F285" s="813"/>
      <c r="G285" s="813"/>
      <c r="H285" s="813"/>
      <c r="I285" s="813"/>
      <c r="J285" s="813"/>
      <c r="K285" s="813"/>
      <c r="L285" s="813"/>
      <c r="M285" s="813"/>
      <c r="N285" s="813"/>
      <c r="O285" s="813"/>
      <c r="P285" s="813"/>
      <c r="Q285" s="813"/>
      <c r="R285" s="813"/>
      <c r="S285" s="813"/>
      <c r="T285" s="813"/>
      <c r="U285" s="813"/>
      <c r="V285" s="813"/>
      <c r="W285" s="813"/>
      <c r="X285" s="813"/>
    </row>
    <row r="286" spans="1:24" hidden="1" x14ac:dyDescent="0.2">
      <c r="A286" s="813"/>
      <c r="B286" s="813"/>
      <c r="C286" s="813"/>
      <c r="D286" s="813"/>
      <c r="E286" s="813"/>
      <c r="F286" s="813"/>
      <c r="G286" s="813"/>
      <c r="H286" s="813"/>
      <c r="I286" s="813"/>
      <c r="J286" s="813"/>
      <c r="K286" s="813"/>
      <c r="L286" s="813"/>
      <c r="M286" s="813"/>
      <c r="N286" s="813"/>
      <c r="O286" s="813"/>
      <c r="P286" s="813"/>
      <c r="Q286" s="813"/>
      <c r="R286" s="813"/>
      <c r="S286" s="813"/>
      <c r="T286" s="813"/>
      <c r="U286" s="813"/>
      <c r="V286" s="813"/>
      <c r="W286" s="813"/>
      <c r="X286" s="813"/>
    </row>
    <row r="287" spans="1:24" hidden="1" x14ac:dyDescent="0.2">
      <c r="A287" s="813"/>
      <c r="B287" s="813"/>
      <c r="C287" s="813"/>
      <c r="D287" s="813"/>
      <c r="E287" s="813"/>
      <c r="F287" s="813"/>
      <c r="G287" s="813"/>
      <c r="H287" s="813"/>
      <c r="I287" s="813"/>
      <c r="J287" s="813"/>
      <c r="K287" s="813"/>
      <c r="L287" s="813"/>
      <c r="M287" s="813"/>
      <c r="N287" s="813"/>
      <c r="O287" s="813"/>
      <c r="P287" s="813"/>
      <c r="Q287" s="813"/>
      <c r="R287" s="813"/>
      <c r="S287" s="813"/>
      <c r="T287" s="813"/>
      <c r="U287" s="813"/>
      <c r="V287" s="813"/>
      <c r="W287" s="813"/>
      <c r="X287" s="813"/>
    </row>
    <row r="288" spans="1:24" hidden="1" x14ac:dyDescent="0.2">
      <c r="A288" s="813"/>
      <c r="B288" s="813"/>
      <c r="C288" s="813"/>
      <c r="D288" s="813"/>
      <c r="E288" s="813"/>
      <c r="F288" s="813"/>
      <c r="G288" s="813"/>
      <c r="H288" s="813"/>
      <c r="I288" s="813"/>
      <c r="J288" s="813"/>
      <c r="K288" s="813"/>
      <c r="L288" s="813"/>
      <c r="M288" s="813"/>
      <c r="N288" s="813"/>
      <c r="O288" s="813"/>
      <c r="P288" s="813"/>
      <c r="Q288" s="813"/>
      <c r="R288" s="813"/>
      <c r="S288" s="813"/>
      <c r="T288" s="813"/>
      <c r="U288" s="813"/>
      <c r="V288" s="813"/>
      <c r="W288" s="813"/>
      <c r="X288" s="813"/>
    </row>
    <row r="289" spans="1:24" hidden="1" x14ac:dyDescent="0.2">
      <c r="A289" s="813"/>
      <c r="B289" s="813"/>
      <c r="C289" s="813"/>
      <c r="D289" s="813"/>
      <c r="E289" s="813"/>
      <c r="F289" s="813"/>
      <c r="G289" s="813"/>
      <c r="H289" s="813"/>
      <c r="I289" s="813"/>
      <c r="J289" s="813"/>
      <c r="K289" s="813"/>
      <c r="L289" s="813"/>
      <c r="M289" s="813"/>
      <c r="N289" s="813"/>
      <c r="O289" s="813"/>
      <c r="P289" s="813"/>
      <c r="Q289" s="813"/>
      <c r="R289" s="813"/>
      <c r="S289" s="813"/>
      <c r="T289" s="813"/>
      <c r="U289" s="813"/>
      <c r="V289" s="813"/>
      <c r="W289" s="813"/>
      <c r="X289" s="813"/>
    </row>
    <row r="290" spans="1:24" hidden="1" x14ac:dyDescent="0.2">
      <c r="A290" s="813"/>
      <c r="B290" s="813"/>
      <c r="C290" s="813"/>
      <c r="D290" s="813"/>
      <c r="E290" s="813"/>
      <c r="F290" s="813"/>
      <c r="G290" s="813"/>
      <c r="H290" s="813"/>
      <c r="I290" s="813"/>
      <c r="J290" s="813"/>
      <c r="K290" s="813"/>
      <c r="L290" s="813"/>
      <c r="M290" s="813"/>
      <c r="N290" s="813"/>
      <c r="O290" s="813"/>
      <c r="P290" s="813"/>
      <c r="Q290" s="813"/>
      <c r="R290" s="813"/>
      <c r="S290" s="813"/>
      <c r="T290" s="813"/>
      <c r="U290" s="813"/>
      <c r="V290" s="813"/>
      <c r="W290" s="813"/>
      <c r="X290" s="813"/>
    </row>
    <row r="291" spans="1:24" hidden="1" x14ac:dyDescent="0.2">
      <c r="A291" s="813"/>
      <c r="B291" s="813"/>
      <c r="C291" s="813"/>
      <c r="D291" s="813"/>
      <c r="E291" s="813"/>
      <c r="F291" s="813"/>
      <c r="G291" s="813"/>
      <c r="H291" s="813"/>
      <c r="I291" s="813"/>
      <c r="J291" s="813"/>
      <c r="K291" s="813"/>
      <c r="L291" s="813"/>
      <c r="M291" s="813"/>
      <c r="N291" s="813"/>
      <c r="O291" s="813"/>
      <c r="P291" s="813"/>
      <c r="Q291" s="813"/>
      <c r="R291" s="813"/>
      <c r="S291" s="813"/>
      <c r="T291" s="813"/>
      <c r="U291" s="813"/>
      <c r="V291" s="813"/>
      <c r="W291" s="813"/>
      <c r="X291" s="813"/>
    </row>
    <row r="292" spans="1:24" hidden="1" x14ac:dyDescent="0.2">
      <c r="A292" s="813"/>
      <c r="B292" s="813"/>
      <c r="C292" s="813"/>
      <c r="D292" s="813"/>
      <c r="E292" s="813"/>
      <c r="F292" s="813"/>
      <c r="G292" s="813"/>
      <c r="H292" s="813"/>
      <c r="I292" s="813"/>
      <c r="J292" s="813"/>
      <c r="K292" s="813"/>
      <c r="L292" s="813"/>
      <c r="M292" s="813"/>
      <c r="N292" s="813"/>
      <c r="O292" s="813"/>
      <c r="P292" s="813"/>
      <c r="Q292" s="813"/>
      <c r="R292" s="813"/>
      <c r="S292" s="813"/>
      <c r="T292" s="813"/>
      <c r="U292" s="813"/>
      <c r="V292" s="813"/>
      <c r="W292" s="813"/>
      <c r="X292" s="813"/>
    </row>
    <row r="293" spans="1:24" hidden="1" x14ac:dyDescent="0.2">
      <c r="A293" s="813"/>
      <c r="B293" s="813"/>
      <c r="C293" s="813"/>
      <c r="D293" s="813"/>
      <c r="E293" s="813"/>
      <c r="F293" s="813"/>
      <c r="G293" s="813"/>
      <c r="H293" s="813"/>
      <c r="I293" s="813"/>
      <c r="J293" s="813"/>
      <c r="K293" s="813"/>
      <c r="L293" s="813"/>
      <c r="M293" s="813"/>
      <c r="N293" s="813"/>
      <c r="O293" s="813"/>
      <c r="P293" s="813"/>
      <c r="Q293" s="813"/>
      <c r="R293" s="813"/>
      <c r="S293" s="813"/>
      <c r="T293" s="813"/>
      <c r="U293" s="813"/>
      <c r="V293" s="813"/>
      <c r="W293" s="813"/>
      <c r="X293" s="813"/>
    </row>
    <row r="294" spans="1:24" hidden="1" x14ac:dyDescent="0.2">
      <c r="A294" s="813"/>
      <c r="B294" s="813"/>
      <c r="C294" s="813"/>
      <c r="D294" s="813"/>
      <c r="E294" s="813"/>
      <c r="F294" s="813"/>
      <c r="G294" s="813"/>
      <c r="H294" s="813"/>
      <c r="I294" s="813"/>
      <c r="J294" s="813"/>
      <c r="K294" s="813"/>
      <c r="L294" s="813"/>
      <c r="M294" s="813"/>
      <c r="N294" s="813"/>
      <c r="O294" s="813"/>
      <c r="P294" s="813"/>
      <c r="Q294" s="813"/>
      <c r="R294" s="813"/>
      <c r="S294" s="813"/>
      <c r="T294" s="813"/>
      <c r="U294" s="813"/>
      <c r="V294" s="813"/>
      <c r="W294" s="813"/>
      <c r="X294" s="813"/>
    </row>
    <row r="295" spans="1:24" hidden="1" x14ac:dyDescent="0.2">
      <c r="A295" s="813"/>
      <c r="B295" s="813"/>
      <c r="C295" s="813"/>
      <c r="D295" s="813"/>
      <c r="E295" s="813"/>
      <c r="F295" s="813"/>
      <c r="G295" s="813"/>
      <c r="H295" s="813"/>
      <c r="I295" s="813"/>
      <c r="J295" s="813"/>
      <c r="K295" s="813"/>
      <c r="L295" s="813"/>
      <c r="M295" s="813"/>
      <c r="N295" s="813"/>
      <c r="O295" s="813"/>
      <c r="P295" s="813"/>
      <c r="Q295" s="813"/>
      <c r="R295" s="813"/>
      <c r="S295" s="813"/>
      <c r="T295" s="813"/>
      <c r="U295" s="813"/>
      <c r="V295" s="813"/>
      <c r="W295" s="813"/>
      <c r="X295" s="813"/>
    </row>
    <row r="296" spans="1:24" hidden="1" x14ac:dyDescent="0.2">
      <c r="A296" s="813"/>
      <c r="B296" s="813"/>
      <c r="C296" s="813"/>
      <c r="D296" s="813"/>
      <c r="E296" s="813"/>
      <c r="F296" s="813"/>
      <c r="G296" s="813"/>
      <c r="H296" s="813"/>
      <c r="I296" s="813"/>
      <c r="J296" s="813"/>
      <c r="K296" s="813"/>
      <c r="L296" s="813"/>
      <c r="M296" s="813"/>
      <c r="N296" s="813"/>
      <c r="O296" s="813"/>
      <c r="P296" s="813"/>
      <c r="Q296" s="813"/>
      <c r="R296" s="813"/>
      <c r="S296" s="813"/>
      <c r="T296" s="813"/>
      <c r="U296" s="813"/>
      <c r="V296" s="813"/>
      <c r="W296" s="813"/>
      <c r="X296" s="813"/>
    </row>
    <row r="297" spans="1:24" hidden="1" x14ac:dyDescent="0.2">
      <c r="A297" s="813"/>
      <c r="B297" s="813"/>
      <c r="C297" s="813"/>
      <c r="D297" s="813"/>
      <c r="E297" s="813"/>
      <c r="F297" s="813"/>
      <c r="G297" s="813"/>
      <c r="H297" s="813"/>
      <c r="I297" s="813"/>
      <c r="J297" s="813"/>
      <c r="K297" s="813"/>
      <c r="L297" s="813"/>
      <c r="M297" s="813"/>
      <c r="N297" s="813"/>
      <c r="O297" s="813"/>
      <c r="P297" s="813"/>
      <c r="Q297" s="813"/>
      <c r="R297" s="813"/>
      <c r="S297" s="813"/>
      <c r="T297" s="813"/>
      <c r="U297" s="813"/>
      <c r="V297" s="813"/>
      <c r="W297" s="813"/>
      <c r="X297" s="813"/>
    </row>
    <row r="298" spans="1:24" x14ac:dyDescent="0.2">
      <c r="A298" s="813"/>
      <c r="B298" s="813"/>
      <c r="C298" s="813"/>
      <c r="D298" s="813"/>
      <c r="E298" s="813"/>
      <c r="F298" s="813"/>
      <c r="G298" s="813"/>
      <c r="H298" s="813"/>
      <c r="I298" s="813"/>
      <c r="J298" s="813"/>
      <c r="K298" s="813"/>
      <c r="L298" s="813"/>
      <c r="M298" s="813"/>
      <c r="N298" s="813"/>
      <c r="O298" s="813"/>
      <c r="P298" s="813"/>
      <c r="Q298" s="813"/>
      <c r="R298" s="813"/>
      <c r="S298" s="813"/>
      <c r="T298" s="813"/>
      <c r="U298" s="813"/>
      <c r="V298" s="813"/>
      <c r="W298" s="813"/>
      <c r="X298" s="813"/>
    </row>
    <row r="299" spans="1:24" x14ac:dyDescent="0.2">
      <c r="A299" s="813"/>
      <c r="B299" s="813"/>
      <c r="C299" s="813"/>
      <c r="D299" s="698" t="s">
        <v>182</v>
      </c>
      <c r="E299" s="813"/>
      <c r="F299" s="813"/>
      <c r="G299" s="813"/>
      <c r="H299" s="813"/>
      <c r="I299" s="813"/>
      <c r="J299" s="813"/>
      <c r="K299" s="813"/>
      <c r="L299" s="813"/>
      <c r="M299" s="813"/>
      <c r="N299" s="813"/>
      <c r="O299" s="813"/>
      <c r="P299" s="813"/>
      <c r="Q299" s="813"/>
      <c r="R299" s="813"/>
      <c r="S299" s="813"/>
      <c r="T299" s="813"/>
      <c r="U299" s="813"/>
      <c r="V299" s="813"/>
      <c r="W299" s="813"/>
      <c r="X299" s="813"/>
    </row>
    <row r="300" spans="1:24" x14ac:dyDescent="0.2">
      <c r="A300" s="699">
        <v>1</v>
      </c>
      <c r="B300" s="814" t="str">
        <f t="shared" ref="B300:B314" ca="1" si="6">IF(IFERROR(INDEX($B$9:$B$121,MATCH($A300,$X$9:$X$121,0)),"")=0,"",IFERROR(INDEX($B$9:$B$121,MATCH($A300,$X$9:$X$121,0)),""))</f>
        <v>Oskar Sepp</v>
      </c>
      <c r="C300" s="711">
        <v>40</v>
      </c>
      <c r="D300" s="813"/>
      <c r="E300" s="815"/>
      <c r="F300" s="815"/>
      <c r="G300" s="815"/>
      <c r="H300" s="815"/>
      <c r="I300" s="815"/>
      <c r="J300" s="815"/>
      <c r="K300" s="815"/>
      <c r="L300" s="815"/>
      <c r="M300" s="815"/>
      <c r="N300" s="813"/>
      <c r="O300" s="813"/>
      <c r="P300" s="813"/>
      <c r="Q300" s="813"/>
      <c r="R300" s="813"/>
      <c r="S300" s="813"/>
      <c r="T300" s="813"/>
      <c r="U300" s="813"/>
      <c r="V300" s="813"/>
      <c r="W300" s="813"/>
      <c r="X300" s="813"/>
    </row>
    <row r="301" spans="1:24" x14ac:dyDescent="0.2">
      <c r="A301" s="699">
        <v>2</v>
      </c>
      <c r="B301" s="816" t="str">
        <f t="shared" ca="1" si="6"/>
        <v>Ivar Viljaste</v>
      </c>
      <c r="C301" s="711">
        <v>34</v>
      </c>
      <c r="D301" s="813"/>
      <c r="E301" s="815"/>
      <c r="F301" s="815"/>
      <c r="G301" s="815"/>
      <c r="H301" s="815"/>
      <c r="I301" s="815"/>
      <c r="J301" s="815"/>
      <c r="K301" s="815"/>
      <c r="L301" s="815"/>
      <c r="M301" s="815"/>
      <c r="N301" s="813"/>
      <c r="O301" s="813"/>
      <c r="P301" s="813"/>
      <c r="Q301" s="813"/>
      <c r="R301" s="813"/>
      <c r="S301" s="813"/>
      <c r="T301" s="813"/>
      <c r="U301" s="813"/>
      <c r="V301" s="813"/>
      <c r="W301" s="813"/>
      <c r="X301" s="813"/>
    </row>
    <row r="302" spans="1:24" x14ac:dyDescent="0.2">
      <c r="A302" s="699">
        <v>3</v>
      </c>
      <c r="B302" s="817" t="str">
        <f t="shared" ca="1" si="6"/>
        <v>Boriss Klubov</v>
      </c>
      <c r="C302" s="711">
        <v>30</v>
      </c>
      <c r="D302" s="813"/>
      <c r="E302" s="815"/>
      <c r="F302" s="815"/>
      <c r="G302" s="815"/>
      <c r="H302" s="815"/>
      <c r="I302" s="815"/>
      <c r="J302" s="815"/>
      <c r="K302" s="815"/>
      <c r="L302" s="815"/>
      <c r="M302" s="815"/>
      <c r="N302" s="813"/>
      <c r="O302" s="813"/>
      <c r="P302" s="813"/>
      <c r="Q302" s="813"/>
      <c r="R302" s="813"/>
      <c r="S302" s="813"/>
      <c r="T302" s="813"/>
      <c r="U302" s="813"/>
      <c r="V302" s="813"/>
      <c r="W302" s="813"/>
      <c r="X302" s="813"/>
    </row>
    <row r="303" spans="1:24" x14ac:dyDescent="0.2">
      <c r="A303" s="699">
        <v>4</v>
      </c>
      <c r="B303" s="818" t="str">
        <f t="shared" ca="1" si="6"/>
        <v>Jaan Sepp</v>
      </c>
      <c r="C303" s="711">
        <v>26</v>
      </c>
      <c r="D303" s="813"/>
      <c r="E303" s="815"/>
      <c r="F303" s="815"/>
      <c r="G303" s="815"/>
      <c r="H303" s="815"/>
      <c r="I303" s="815"/>
      <c r="J303" s="815"/>
      <c r="K303" s="813"/>
      <c r="L303" s="815"/>
      <c r="M303" s="815"/>
      <c r="N303" s="813"/>
      <c r="O303" s="813"/>
      <c r="P303" s="813"/>
      <c r="Q303" s="813"/>
      <c r="R303" s="813"/>
      <c r="S303" s="813"/>
      <c r="T303" s="813"/>
      <c r="U303" s="813"/>
      <c r="V303" s="813"/>
      <c r="W303" s="813"/>
      <c r="X303" s="813"/>
    </row>
    <row r="304" spans="1:24" x14ac:dyDescent="0.2">
      <c r="A304" s="699">
        <v>5</v>
      </c>
      <c r="B304" s="818" t="str">
        <f t="shared" si="6"/>
        <v>Kenneth Muusikus</v>
      </c>
      <c r="C304" s="711">
        <v>24</v>
      </c>
      <c r="D304" s="813"/>
      <c r="E304" s="815"/>
      <c r="F304" s="815"/>
      <c r="G304" s="815"/>
      <c r="H304" s="815"/>
      <c r="I304" s="815"/>
      <c r="J304" s="815"/>
      <c r="K304" s="815"/>
      <c r="L304" s="815"/>
      <c r="M304" s="815"/>
      <c r="N304" s="813"/>
      <c r="O304" s="813"/>
      <c r="P304" s="813"/>
      <c r="Q304" s="813"/>
      <c r="R304" s="813"/>
      <c r="S304" s="813"/>
      <c r="T304" s="813"/>
      <c r="U304" s="813"/>
      <c r="V304" s="813"/>
      <c r="W304" s="813"/>
      <c r="X304" s="813"/>
    </row>
    <row r="305" spans="1:24" x14ac:dyDescent="0.2">
      <c r="A305" s="699">
        <v>6</v>
      </c>
      <c r="B305" s="818" t="str">
        <f t="shared" si="6"/>
        <v>Mait Metsla</v>
      </c>
      <c r="C305" s="711">
        <v>22</v>
      </c>
      <c r="D305" s="813"/>
      <c r="E305" s="815"/>
      <c r="F305" s="815"/>
      <c r="G305" s="815"/>
      <c r="H305" s="815"/>
      <c r="I305" s="815"/>
      <c r="J305" s="815"/>
      <c r="K305" s="815"/>
      <c r="L305" s="815"/>
      <c r="M305" s="815"/>
      <c r="N305" s="813"/>
      <c r="O305" s="813"/>
      <c r="P305" s="813"/>
      <c r="Q305" s="813"/>
      <c r="R305" s="813"/>
      <c r="S305" s="813"/>
      <c r="T305" s="813"/>
      <c r="U305" s="813"/>
      <c r="V305" s="813"/>
      <c r="W305" s="813"/>
      <c r="X305" s="813"/>
    </row>
    <row r="306" spans="1:24" x14ac:dyDescent="0.2">
      <c r="A306" s="699">
        <v>7</v>
      </c>
      <c r="B306" s="818" t="str">
        <f t="shared" si="6"/>
        <v>Svetlana Veski</v>
      </c>
      <c r="C306" s="711">
        <v>20</v>
      </c>
      <c r="D306" s="813"/>
      <c r="E306" s="815"/>
      <c r="F306" s="815"/>
      <c r="G306" s="815"/>
      <c r="H306" s="815"/>
      <c r="I306" s="815"/>
      <c r="J306" s="815"/>
      <c r="K306" s="815"/>
      <c r="L306" s="815"/>
      <c r="M306" s="815"/>
      <c r="N306" s="813"/>
      <c r="O306" s="813"/>
      <c r="P306" s="813"/>
      <c r="Q306" s="813"/>
      <c r="R306" s="813"/>
      <c r="S306" s="813"/>
      <c r="T306" s="813"/>
      <c r="U306" s="813"/>
      <c r="V306" s="813"/>
      <c r="W306" s="813"/>
      <c r="X306" s="813"/>
    </row>
    <row r="307" spans="1:24" x14ac:dyDescent="0.2">
      <c r="A307" s="699">
        <v>8</v>
      </c>
      <c r="B307" s="818" t="str">
        <f t="shared" si="6"/>
        <v>Oleg Rõndenkov</v>
      </c>
      <c r="C307" s="711">
        <v>18</v>
      </c>
      <c r="D307" s="813"/>
      <c r="E307" s="815"/>
      <c r="F307" s="815"/>
      <c r="G307" s="815"/>
      <c r="H307" s="815"/>
      <c r="I307" s="815"/>
      <c r="J307" s="815"/>
      <c r="K307" s="819"/>
      <c r="L307" s="815"/>
      <c r="M307" s="815"/>
      <c r="N307" s="813"/>
      <c r="O307" s="813"/>
      <c r="P307" s="813"/>
      <c r="Q307" s="813"/>
      <c r="R307" s="813"/>
      <c r="S307" s="813"/>
      <c r="T307" s="813"/>
      <c r="U307" s="813"/>
      <c r="V307" s="813"/>
      <c r="W307" s="813"/>
      <c r="X307" s="813"/>
    </row>
    <row r="308" spans="1:24" x14ac:dyDescent="0.2">
      <c r="A308" s="699">
        <v>9</v>
      </c>
      <c r="B308" s="818" t="str">
        <f t="shared" si="6"/>
        <v>Kalle Orro</v>
      </c>
      <c r="C308" s="960">
        <v>15</v>
      </c>
      <c r="D308" s="659"/>
      <c r="E308" s="813"/>
      <c r="F308" s="813"/>
      <c r="G308" s="813"/>
      <c r="H308" s="813"/>
      <c r="I308" s="813"/>
      <c r="J308" s="813"/>
      <c r="K308" s="813"/>
      <c r="L308" s="813"/>
      <c r="M308" s="813"/>
      <c r="N308" s="813"/>
      <c r="O308" s="813"/>
      <c r="P308" s="813"/>
      <c r="Q308" s="813"/>
      <c r="R308" s="813"/>
      <c r="S308" s="813"/>
      <c r="T308" s="813"/>
      <c r="U308" s="813"/>
      <c r="V308" s="813"/>
      <c r="W308" s="813"/>
      <c r="X308" s="813"/>
    </row>
    <row r="309" spans="1:24" x14ac:dyDescent="0.2">
      <c r="A309" s="699">
        <v>9</v>
      </c>
      <c r="B309" s="820" t="s">
        <v>222</v>
      </c>
      <c r="C309" s="711">
        <v>15</v>
      </c>
      <c r="D309" s="659"/>
      <c r="E309" s="813"/>
      <c r="F309" s="813"/>
      <c r="G309" s="813"/>
      <c r="H309" s="813"/>
      <c r="I309" s="813"/>
      <c r="J309" s="813"/>
      <c r="K309" s="813"/>
      <c r="L309" s="813"/>
      <c r="M309" s="813"/>
      <c r="N309" s="813"/>
      <c r="O309" s="813"/>
      <c r="P309" s="813"/>
      <c r="Q309" s="813"/>
      <c r="R309" s="813"/>
      <c r="S309" s="813"/>
      <c r="T309" s="813"/>
      <c r="U309" s="813"/>
      <c r="V309" s="813"/>
      <c r="W309" s="813"/>
      <c r="X309" s="813"/>
    </row>
    <row r="310" spans="1:24" x14ac:dyDescent="0.2">
      <c r="A310" s="699">
        <v>11</v>
      </c>
      <c r="B310" s="821" t="str">
        <f t="shared" si="6"/>
        <v>Andres Veski</v>
      </c>
      <c r="C310" s="711">
        <v>12</v>
      </c>
      <c r="D310" s="652"/>
      <c r="E310" s="813"/>
      <c r="F310" s="813"/>
      <c r="G310" s="813"/>
      <c r="H310" s="813"/>
      <c r="I310" s="813"/>
      <c r="J310" s="813"/>
      <c r="K310" s="813"/>
      <c r="L310" s="813"/>
      <c r="M310" s="813"/>
      <c r="N310" s="813"/>
      <c r="O310" s="813"/>
      <c r="P310" s="813"/>
      <c r="Q310" s="813"/>
      <c r="R310" s="813"/>
      <c r="S310" s="813"/>
      <c r="T310" s="813"/>
      <c r="U310" s="813"/>
      <c r="V310" s="813"/>
      <c r="W310" s="813"/>
      <c r="X310" s="813"/>
    </row>
    <row r="311" spans="1:24" x14ac:dyDescent="0.2">
      <c r="A311" s="699">
        <v>12</v>
      </c>
      <c r="B311" s="821" t="str">
        <f t="shared" si="6"/>
        <v>Andrei Grintšak</v>
      </c>
      <c r="C311" s="711">
        <v>10</v>
      </c>
      <c r="D311" s="813"/>
      <c r="E311" s="813"/>
      <c r="F311" s="813"/>
      <c r="G311" s="813"/>
      <c r="H311" s="813"/>
      <c r="I311" s="813"/>
      <c r="J311" s="813"/>
      <c r="K311" s="813"/>
      <c r="L311" s="813"/>
      <c r="M311" s="813"/>
      <c r="N311" s="813"/>
      <c r="O311" s="813"/>
      <c r="P311" s="813"/>
      <c r="Q311" s="813"/>
      <c r="R311" s="813"/>
      <c r="S311" s="813"/>
      <c r="T311" s="813"/>
      <c r="U311" s="813"/>
      <c r="V311" s="813"/>
      <c r="W311" s="813"/>
      <c r="X311" s="813"/>
    </row>
    <row r="312" spans="1:24" x14ac:dyDescent="0.2">
      <c r="A312" s="699">
        <v>13</v>
      </c>
      <c r="B312" s="821" t="str">
        <f t="shared" si="6"/>
        <v>Vladimir Ogneštšikov</v>
      </c>
      <c r="C312" s="711">
        <v>8</v>
      </c>
      <c r="D312" s="813"/>
      <c r="E312" s="813"/>
      <c r="F312" s="813"/>
      <c r="G312" s="813"/>
      <c r="H312" s="813"/>
      <c r="I312" s="813"/>
      <c r="J312" s="813"/>
      <c r="K312" s="813"/>
      <c r="L312" s="813"/>
      <c r="M312" s="813"/>
      <c r="N312" s="813"/>
      <c r="O312" s="813"/>
      <c r="P312" s="813"/>
      <c r="Q312" s="813"/>
      <c r="R312" s="813"/>
      <c r="S312" s="813"/>
      <c r="T312" s="813"/>
      <c r="U312" s="813"/>
      <c r="V312" s="813"/>
      <c r="W312" s="813"/>
      <c r="X312" s="813"/>
    </row>
    <row r="313" spans="1:24" x14ac:dyDescent="0.2">
      <c r="A313" s="699">
        <v>14</v>
      </c>
      <c r="B313" s="821" t="str">
        <f t="shared" si="6"/>
        <v>Janek Tarto</v>
      </c>
      <c r="C313" s="711">
        <v>6</v>
      </c>
      <c r="D313" s="813"/>
      <c r="E313" s="813"/>
      <c r="F313" s="813"/>
      <c r="G313" s="813"/>
      <c r="H313" s="813"/>
      <c r="I313" s="813"/>
      <c r="J313" s="813"/>
      <c r="K313" s="813"/>
      <c r="L313" s="813"/>
      <c r="M313" s="813"/>
      <c r="N313" s="813"/>
      <c r="O313" s="813"/>
      <c r="P313" s="813"/>
      <c r="Q313" s="813"/>
      <c r="R313" s="813"/>
      <c r="S313" s="813"/>
      <c r="T313" s="813"/>
      <c r="U313" s="813"/>
      <c r="V313" s="813"/>
      <c r="W313" s="813"/>
      <c r="X313" s="813"/>
    </row>
    <row r="314" spans="1:24" x14ac:dyDescent="0.2">
      <c r="A314" s="699">
        <v>15</v>
      </c>
      <c r="B314" s="821" t="str">
        <f t="shared" si="6"/>
        <v>Tõnu Kapper</v>
      </c>
      <c r="C314" s="711">
        <v>4</v>
      </c>
      <c r="D314" s="813"/>
      <c r="E314" s="813"/>
      <c r="F314" s="813"/>
      <c r="G314" s="813"/>
      <c r="H314" s="813"/>
      <c r="I314" s="813"/>
      <c r="J314" s="813"/>
      <c r="K314" s="813"/>
      <c r="L314" s="813"/>
      <c r="M314" s="813"/>
      <c r="N314" s="813"/>
      <c r="O314" s="813"/>
      <c r="P314" s="813"/>
      <c r="Q314" s="813"/>
      <c r="R314" s="813"/>
      <c r="S314" s="813"/>
      <c r="T314" s="813"/>
      <c r="U314" s="813"/>
      <c r="V314" s="813"/>
      <c r="W314" s="813"/>
      <c r="X314" s="813"/>
    </row>
  </sheetData>
  <conditionalFormatting sqref="W39:W43">
    <cfRule type="top10" dxfId="894" priority="8" rank="1"/>
  </conditionalFormatting>
  <conditionalFormatting sqref="W34:W35">
    <cfRule type="top10" dxfId="893" priority="11" rank="1"/>
  </conditionalFormatting>
  <conditionalFormatting sqref="W36:W37">
    <cfRule type="top10" dxfId="892" priority="10" rank="1"/>
  </conditionalFormatting>
  <conditionalFormatting sqref="W39:W40">
    <cfRule type="top10" dxfId="891" priority="9" rank="1"/>
  </conditionalFormatting>
  <conditionalFormatting sqref="X34:X37">
    <cfRule type="duplicateValues" dxfId="890" priority="12"/>
  </conditionalFormatting>
  <conditionalFormatting sqref="X9:X23">
    <cfRule type="duplicateValues" dxfId="889" priority="13"/>
    <cfRule type="top10" dxfId="888" priority="14" stopIfTrue="1" rank="100"/>
  </conditionalFormatting>
  <conditionalFormatting sqref="B9:B23">
    <cfRule type="duplicateValues" dxfId="887" priority="15" stopIfTrue="1"/>
  </conditionalFormatting>
  <conditionalFormatting sqref="W25:W26">
    <cfRule type="top10" dxfId="886" priority="5" rank="1"/>
  </conditionalFormatting>
  <conditionalFormatting sqref="W27:W28">
    <cfRule type="top10" dxfId="885" priority="4" rank="1"/>
  </conditionalFormatting>
  <conditionalFormatting sqref="W29:W30">
    <cfRule type="top10" dxfId="884" priority="3" rank="1"/>
  </conditionalFormatting>
  <conditionalFormatting sqref="X25:X32">
    <cfRule type="duplicateValues" dxfId="883" priority="6"/>
    <cfRule type="top10" dxfId="882" priority="7" stopIfTrue="1" rank="4"/>
  </conditionalFormatting>
  <conditionalFormatting sqref="W9:W43">
    <cfRule type="top10" dxfId="881" priority="16" stopIfTrue="1" rank="1"/>
  </conditionalFormatting>
  <conditionalFormatting sqref="A300:A314">
    <cfRule type="duplicateValues" dxfId="880" priority="2"/>
  </conditionalFormatting>
  <conditionalFormatting sqref="AE9:AE23">
    <cfRule type="expression" dxfId="879" priority="1">
      <formula>AND(AF9="",COUNTIF(AE9,"*,*")=0)</formula>
    </cfRule>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rowBreaks count="1" manualBreakCount="1">
    <brk id="297" max="16383" man="1"/>
  </row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M310"/>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33.28515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6.5703125" hidden="1" customWidth="1"/>
    <col min="33" max="33" width="9.140625" hidden="1" customWidth="1"/>
    <col min="34" max="34" width="18.7109375" hidden="1" customWidth="1"/>
    <col min="35" max="35" width="9.140625" hidden="1" customWidth="1"/>
    <col min="36" max="36" width="17.28515625" hidden="1" customWidth="1"/>
    <col min="37" max="37" width="9.140625" hidden="1" customWidth="1"/>
    <col min="38" max="38" width="13.85546875" hidden="1" customWidth="1"/>
  </cols>
  <sheetData>
    <row r="1" spans="1:39" x14ac:dyDescent="0.2">
      <c r="A1" s="742" t="str">
        <f>UPPER((Kalend!E29)&amp;" - "&amp;(Kalend!C29)&amp;" - "&amp;(Kalend!D29))</f>
        <v>8 - K-JÄRVE 20. MV - DUO</v>
      </c>
      <c r="B1" s="652"/>
      <c r="C1" s="653"/>
      <c r="D1" s="652"/>
      <c r="E1" s="652"/>
      <c r="F1" s="410" t="str">
        <f>HYPERLINK("#Kalend!I1","Kalender")</f>
        <v>Kalender</v>
      </c>
      <c r="G1" s="410"/>
      <c r="H1" s="410"/>
      <c r="I1" s="410"/>
      <c r="J1" s="654" t="str">
        <f>HYPERLINK("#Reit!r1","Reiting")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tr">
        <f>"Toimumisaeg: "&amp;(Kalend!A29)&amp;" kell "&amp;(Kalend!B29)</f>
        <v>Toimumisaeg: N, 18.07.2019 kell 18:00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52"/>
      <c r="AB2" s="652"/>
      <c r="AD2" s="652"/>
      <c r="AE2" s="652"/>
      <c r="AF2" s="652"/>
      <c r="AG2" s="652"/>
      <c r="AH2" s="652"/>
      <c r="AI2" s="652"/>
      <c r="AJ2" s="652"/>
      <c r="AK2" s="652"/>
      <c r="AL2" s="652"/>
      <c r="AM2" s="652"/>
    </row>
    <row r="3" spans="1:39" x14ac:dyDescent="0.2">
      <c r="A3" s="659" t="str">
        <f>"Toimumiskoht: "&amp;(Kalend!F29)</f>
        <v>Toimumiskoht: K-Järve spordihoone</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tr">
        <f>"Korraldaja: "&amp;(Kalend!G29)</f>
        <v>Korraldaja: Ivar Viljaste</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hidden="1"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hidden="1"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hidden="1" x14ac:dyDescent="0.2">
      <c r="A8" s="685">
        <v>1</v>
      </c>
      <c r="B8" s="686" t="s">
        <v>410</v>
      </c>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708">
        <f t="shared" ref="AD8" ca="1" si="0">SUM(AE8:AL8)</f>
        <v>658</v>
      </c>
      <c r="AE8" s="709">
        <f ca="1">IFERROR(INDEX(Reit!I$8:I$64,MATCH(AF8,Reit!F$8:F$64,0)),"")</f>
        <v>364</v>
      </c>
      <c r="AF8" s="710" t="str">
        <f t="shared" ref="AF8:AF18" si="1">IFERROR(LEFT(B8,(FIND(",",B8,1)-1)),"")</f>
        <v>Ivar Viljaste</v>
      </c>
      <c r="AG8" s="709">
        <f ca="1">IFERROR(INDEX(Reit!I$8:I$64,MATCH(AH8,Reit!F$8:F$64,0)),"")</f>
        <v>294</v>
      </c>
      <c r="AH8" s="710" t="str">
        <f t="shared" ref="AH8:AH18" si="2">IFERROR(MID(B8,FIND(", ",B8)+2,256),"")</f>
        <v>Matti Vinni</v>
      </c>
      <c r="AI8" s="709" t="str">
        <f>IFERROR(INDEX(Reit!I$8:I$64,MATCH(AJ8,Reit!F$8:F$64,0)),"")</f>
        <v/>
      </c>
      <c r="AJ8" s="710" t="str">
        <f t="shared" ref="AJ8:AJ18" si="3">IFERROR(MID(B8,FIND("^",SUBSTITUTE(B8,", ","^",1))+2,FIND("^",SUBSTITUTE(B8,", ","^",2))-FIND("^",SUBSTITUTE(B8,", ","^",1))-2),"")</f>
        <v/>
      </c>
      <c r="AK8" s="709" t="str">
        <f>IFERROR(INDEX(Reit!I$8:I$64,MATCH(AL8,Reit!F$8:F$64,0)),"")</f>
        <v/>
      </c>
      <c r="AL8" s="710" t="str">
        <f t="shared" ref="AL8:AL18" si="4">IFERROR(MID(B8,FIND(", ",B8,FIND(", ",B8,FIND(", ",B8))+1)+2,700),"")</f>
        <v/>
      </c>
      <c r="AM8" s="652"/>
    </row>
    <row r="9" spans="1:39" hidden="1" x14ac:dyDescent="0.2">
      <c r="A9" s="685">
        <v>2</v>
      </c>
      <c r="B9" s="686" t="s">
        <v>383</v>
      </c>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18" si="5">IF(C9&gt;E9,J$3,IF(C9&lt;E9,J$5,IF(ISNUMBER(C9),J$4,0)))+IF(G9&gt;I9,J$3,IF(G9&lt;I9,J$5,IF(ISNUMBER(G9),J$4,0)))+IF(K9&gt;M9,J$3,IF(K9&lt;M9,J$5,IF(ISNUMBER(K9),J$4,0)))+IF(O9&gt;Q9,J$3,IF(O9&lt;Q9,J$5,IF(ISNUMBER(O9),J$4,0)))+IF(S9&gt;U9,J$3,IF(S9&lt;U9,J$5,IF(ISNUMBER(S9),J$4,0)))</f>
        <v>0</v>
      </c>
      <c r="X9" s="692"/>
      <c r="Y9" s="687">
        <f t="shared" ref="Y9:Y18" si="6">C9+G9+K9+O9+S9</f>
        <v>0</v>
      </c>
      <c r="Z9" s="688" t="s">
        <v>377</v>
      </c>
      <c r="AA9" s="693">
        <f t="shared" ref="AA9:AA18" si="7">E9+I9+M9+Q9+U9</f>
        <v>0</v>
      </c>
      <c r="AB9" s="694">
        <f t="shared" ref="AB9:AB18" si="8">Y9-AA9</f>
        <v>0</v>
      </c>
      <c r="AC9" s="695"/>
      <c r="AD9" s="708">
        <f t="shared" ref="AD9:AD18" ca="1" si="9">SUM(AE9:AL9)</f>
        <v>508</v>
      </c>
      <c r="AE9" s="709">
        <f ca="1">IFERROR(INDEX(Reit!I$8:I$64,MATCH(AF9,Reit!F$8:F$64,0)),"")</f>
        <v>258</v>
      </c>
      <c r="AF9" s="710" t="str">
        <f t="shared" si="1"/>
        <v>Elmo Lageda</v>
      </c>
      <c r="AG9" s="709">
        <f ca="1">IFERROR(INDEX(Reit!I$8:I$64,MATCH(AH9,Reit!F$8:F$64,0)),"")</f>
        <v>250</v>
      </c>
      <c r="AH9" s="710" t="str">
        <f t="shared" si="2"/>
        <v>Tõnu Piik</v>
      </c>
      <c r="AI9" s="709" t="str">
        <f>IFERROR(INDEX(Reit!I$8:I$64,MATCH(AJ9,Reit!F$8:F$64,0)),"")</f>
        <v/>
      </c>
      <c r="AJ9" s="710" t="str">
        <f t="shared" si="3"/>
        <v/>
      </c>
      <c r="AK9" s="709" t="str">
        <f>IFERROR(INDEX(Reit!I$8:I$64,MATCH(AL9,Reit!F$8:F$64,0)),"")</f>
        <v/>
      </c>
      <c r="AL9" s="710" t="str">
        <f t="shared" si="4"/>
        <v/>
      </c>
      <c r="AM9" s="652"/>
    </row>
    <row r="10" spans="1:39" hidden="1" x14ac:dyDescent="0.2">
      <c r="A10" s="685">
        <v>3</v>
      </c>
      <c r="B10" s="686" t="s">
        <v>396</v>
      </c>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5"/>
        <v>0</v>
      </c>
      <c r="X10" s="692"/>
      <c r="Y10" s="687">
        <f t="shared" si="6"/>
        <v>0</v>
      </c>
      <c r="Z10" s="688" t="s">
        <v>377</v>
      </c>
      <c r="AA10" s="693">
        <f t="shared" si="7"/>
        <v>0</v>
      </c>
      <c r="AB10" s="694">
        <f t="shared" si="8"/>
        <v>0</v>
      </c>
      <c r="AC10" s="695"/>
      <c r="AD10" s="708">
        <f t="shared" ca="1" si="9"/>
        <v>640</v>
      </c>
      <c r="AE10" s="709">
        <f ca="1">IFERROR(INDEX(Reit!I$8:I$64,MATCH(AF10,Reit!F$8:F$64,0)),"")</f>
        <v>310</v>
      </c>
      <c r="AF10" s="710" t="str">
        <f t="shared" si="1"/>
        <v>Jaan Sepp</v>
      </c>
      <c r="AG10" s="709">
        <f ca="1">IFERROR(INDEX(Reit!I$8:I$64,MATCH(AH10,Reit!F$8:F$64,0)),"")</f>
        <v>330</v>
      </c>
      <c r="AH10" s="710" t="str">
        <f t="shared" si="2"/>
        <v>Oskar Sepp</v>
      </c>
      <c r="AI10" s="709" t="str">
        <f>IFERROR(INDEX(Reit!I$8:I$64,MATCH(AJ10,Reit!F$8:F$64,0)),"")</f>
        <v/>
      </c>
      <c r="AJ10" s="710" t="str">
        <f t="shared" si="3"/>
        <v/>
      </c>
      <c r="AK10" s="709" t="str">
        <f>IFERROR(INDEX(Reit!I$8:I$64,MATCH(AL10,Reit!F$8:F$64,0)),"")</f>
        <v/>
      </c>
      <c r="AL10" s="710" t="str">
        <f t="shared" si="4"/>
        <v/>
      </c>
      <c r="AM10" s="652"/>
    </row>
    <row r="11" spans="1:39" hidden="1" x14ac:dyDescent="0.2">
      <c r="A11" s="685">
        <v>4</v>
      </c>
      <c r="B11" s="686" t="s">
        <v>418</v>
      </c>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5"/>
        <v>0</v>
      </c>
      <c r="X11" s="692"/>
      <c r="Y11" s="687">
        <f t="shared" si="6"/>
        <v>0</v>
      </c>
      <c r="Z11" s="688" t="s">
        <v>377</v>
      </c>
      <c r="AA11" s="693">
        <f t="shared" si="7"/>
        <v>0</v>
      </c>
      <c r="AB11" s="694">
        <f t="shared" si="8"/>
        <v>0</v>
      </c>
      <c r="AC11" s="695"/>
      <c r="AD11" s="708">
        <f t="shared" ca="1" si="9"/>
        <v>486</v>
      </c>
      <c r="AE11" s="709">
        <f ca="1">IFERROR(INDEX(Reit!I$8:I$64,MATCH(AF11,Reit!F$8:F$64,0)),"")</f>
        <v>258</v>
      </c>
      <c r="AF11" s="710" t="str">
        <f t="shared" si="1"/>
        <v>Kenneth Muusikus</v>
      </c>
      <c r="AG11" s="709">
        <f ca="1">IFERROR(INDEX(Reit!I$8:I$64,MATCH(AH11,Reit!F$8:F$64,0)),"")</f>
        <v>228</v>
      </c>
      <c r="AH11" s="710" t="str">
        <f t="shared" si="2"/>
        <v>Mait Metsla</v>
      </c>
      <c r="AI11" s="709" t="str">
        <f>IFERROR(INDEX(Reit!I$8:I$64,MATCH(AJ11,Reit!F$8:F$64,0)),"")</f>
        <v/>
      </c>
      <c r="AJ11" s="710" t="str">
        <f t="shared" si="3"/>
        <v/>
      </c>
      <c r="AK11" s="709" t="str">
        <f>IFERROR(INDEX(Reit!I$8:I$64,MATCH(AL11,Reit!F$8:F$64,0)),"")</f>
        <v/>
      </c>
      <c r="AL11" s="710" t="str">
        <f t="shared" si="4"/>
        <v/>
      </c>
      <c r="AM11" s="652"/>
    </row>
    <row r="12" spans="1:39" hidden="1" x14ac:dyDescent="0.2">
      <c r="A12" s="685">
        <v>5</v>
      </c>
      <c r="B12" s="686" t="s">
        <v>575</v>
      </c>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5"/>
        <v>0</v>
      </c>
      <c r="X12" s="692"/>
      <c r="Y12" s="687">
        <f t="shared" si="6"/>
        <v>0</v>
      </c>
      <c r="Z12" s="688" t="s">
        <v>377</v>
      </c>
      <c r="AA12" s="693">
        <f t="shared" si="7"/>
        <v>0</v>
      </c>
      <c r="AB12" s="694">
        <f t="shared" si="8"/>
        <v>0</v>
      </c>
      <c r="AC12" s="695"/>
      <c r="AD12" s="708">
        <f t="shared" ca="1" si="9"/>
        <v>275</v>
      </c>
      <c r="AE12" s="709">
        <f ca="1">IFERROR(INDEX(Reit!I$8:I$64,MATCH(AF12,Reit!F$8:F$64,0)),"")</f>
        <v>234</v>
      </c>
      <c r="AF12" s="710" t="str">
        <f t="shared" si="1"/>
        <v>Andres Veski</v>
      </c>
      <c r="AG12" s="709">
        <f ca="1">IFERROR(INDEX(Reit!I$8:I$64,MATCH(AH12,Reit!F$8:F$64,0)),"")</f>
        <v>41</v>
      </c>
      <c r="AH12" s="710" t="str">
        <f t="shared" si="2"/>
        <v>Meelis Luud</v>
      </c>
      <c r="AI12" s="709" t="str">
        <f>IFERROR(INDEX(Reit!I$8:I$64,MATCH(AJ12,Reit!F$8:F$64,0)),"")</f>
        <v/>
      </c>
      <c r="AJ12" s="710" t="str">
        <f t="shared" si="3"/>
        <v/>
      </c>
      <c r="AK12" s="709" t="str">
        <f>IFERROR(INDEX(Reit!I$8:I$64,MATCH(AL12,Reit!F$8:F$64,0)),"")</f>
        <v/>
      </c>
      <c r="AL12" s="710" t="str">
        <f t="shared" si="4"/>
        <v/>
      </c>
      <c r="AM12" s="652"/>
    </row>
    <row r="13" spans="1:39" hidden="1" x14ac:dyDescent="0.2">
      <c r="A13" s="685">
        <v>6</v>
      </c>
      <c r="B13" s="686" t="s">
        <v>399</v>
      </c>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5"/>
        <v>0</v>
      </c>
      <c r="X13" s="692"/>
      <c r="Y13" s="687">
        <f t="shared" si="6"/>
        <v>0</v>
      </c>
      <c r="Z13" s="688" t="s">
        <v>377</v>
      </c>
      <c r="AA13" s="693">
        <f t="shared" si="7"/>
        <v>0</v>
      </c>
      <c r="AB13" s="694">
        <f t="shared" si="8"/>
        <v>0</v>
      </c>
      <c r="AC13" s="695"/>
      <c r="AD13" s="708">
        <f t="shared" ca="1" si="9"/>
        <v>211</v>
      </c>
      <c r="AE13" s="709">
        <f ca="1">IFERROR(INDEX(Reit!I$8:I$64,MATCH(AF13,Reit!F$8:F$64,0)),"")</f>
        <v>116</v>
      </c>
      <c r="AF13" s="710" t="str">
        <f t="shared" si="1"/>
        <v>Henri Mitt</v>
      </c>
      <c r="AG13" s="709">
        <f ca="1">IFERROR(INDEX(Reit!I$8:I$64,MATCH(AH13,Reit!F$8:F$64,0)),"")</f>
        <v>95</v>
      </c>
      <c r="AH13" s="710" t="str">
        <f t="shared" si="2"/>
        <v>Urmas Randlaine</v>
      </c>
      <c r="AI13" s="709" t="str">
        <f>IFERROR(INDEX(Reit!I$8:I$64,MATCH(AJ13,Reit!F$8:F$64,0)),"")</f>
        <v/>
      </c>
      <c r="AJ13" s="710" t="str">
        <f t="shared" si="3"/>
        <v/>
      </c>
      <c r="AK13" s="709" t="str">
        <f>IFERROR(INDEX(Reit!I$8:I$64,MATCH(AL13,Reit!F$8:F$64,0)),"")</f>
        <v/>
      </c>
      <c r="AL13" s="710" t="str">
        <f t="shared" si="4"/>
        <v/>
      </c>
      <c r="AM13" s="652"/>
    </row>
    <row r="14" spans="1:39" hidden="1" x14ac:dyDescent="0.2">
      <c r="A14" s="685">
        <v>7</v>
      </c>
      <c r="B14" s="696" t="s">
        <v>381</v>
      </c>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5"/>
        <v>0</v>
      </c>
      <c r="X14" s="692"/>
      <c r="Y14" s="687">
        <f t="shared" si="6"/>
        <v>0</v>
      </c>
      <c r="Z14" s="688" t="s">
        <v>377</v>
      </c>
      <c r="AA14" s="693">
        <f t="shared" si="7"/>
        <v>0</v>
      </c>
      <c r="AB14" s="694">
        <f t="shared" si="8"/>
        <v>0</v>
      </c>
      <c r="AC14" s="695"/>
      <c r="AD14" s="708">
        <f t="shared" ca="1" si="9"/>
        <v>282</v>
      </c>
      <c r="AE14" s="709">
        <f ca="1">IFERROR(INDEX(Reit!I$8:I$64,MATCH(AF14,Reit!F$8:F$64,0)),"")</f>
        <v>158</v>
      </c>
      <c r="AF14" s="710" t="str">
        <f t="shared" si="1"/>
        <v>Tõnu Kapper</v>
      </c>
      <c r="AG14" s="709">
        <f ca="1">IFERROR(INDEX(Reit!I$8:I$64,MATCH(AH14,Reit!F$8:F$64,0)),"")</f>
        <v>124</v>
      </c>
      <c r="AH14" s="710" t="str">
        <f t="shared" si="2"/>
        <v>Vladimir Ogneštšikov</v>
      </c>
      <c r="AI14" s="709" t="str">
        <f>IFERROR(INDEX(Reit!I$8:I$64,MATCH(AJ14,Reit!F$8:F$64,0)),"")</f>
        <v/>
      </c>
      <c r="AJ14" s="710" t="str">
        <f t="shared" si="3"/>
        <v/>
      </c>
      <c r="AK14" s="709" t="str">
        <f>IFERROR(INDEX(Reit!I$8:I$64,MATCH(AL14,Reit!F$8:F$64,0)),"")</f>
        <v/>
      </c>
      <c r="AL14" s="710" t="str">
        <f t="shared" si="4"/>
        <v/>
      </c>
      <c r="AM14" s="652"/>
    </row>
    <row r="15" spans="1:39" hidden="1" x14ac:dyDescent="0.2">
      <c r="A15" s="685">
        <v>8</v>
      </c>
      <c r="B15" s="696" t="s">
        <v>380</v>
      </c>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5"/>
        <v>0</v>
      </c>
      <c r="X15" s="692"/>
      <c r="Y15" s="687">
        <f t="shared" si="6"/>
        <v>0</v>
      </c>
      <c r="Z15" s="688" t="s">
        <v>377</v>
      </c>
      <c r="AA15" s="693">
        <f t="shared" si="7"/>
        <v>0</v>
      </c>
      <c r="AB15" s="694">
        <f t="shared" si="8"/>
        <v>0</v>
      </c>
      <c r="AC15" s="695"/>
      <c r="AD15" s="708">
        <f t="shared" ca="1" si="9"/>
        <v>426</v>
      </c>
      <c r="AE15" s="709">
        <f ca="1">IFERROR(INDEX(Reit!I$8:I$64,MATCH(AF15,Reit!F$8:F$64,0)),"")</f>
        <v>168</v>
      </c>
      <c r="AF15" s="710" t="str">
        <f t="shared" si="1"/>
        <v>Andrei Grintšak</v>
      </c>
      <c r="AG15" s="709">
        <f ca="1">IFERROR(INDEX(Reit!I$8:I$64,MATCH(AH15,Reit!F$8:F$64,0)),"")</f>
        <v>258</v>
      </c>
      <c r="AH15" s="710" t="str">
        <f t="shared" si="2"/>
        <v>Oleg Rõndenkov</v>
      </c>
      <c r="AI15" s="709" t="str">
        <f>IFERROR(INDEX(Reit!I$8:I$64,MATCH(AJ15,Reit!F$8:F$64,0)),"")</f>
        <v/>
      </c>
      <c r="AJ15" s="710" t="str">
        <f t="shared" si="3"/>
        <v/>
      </c>
      <c r="AK15" s="709" t="str">
        <f>IFERROR(INDEX(Reit!I$8:I$64,MATCH(AL15,Reit!F$8:F$64,0)),"")</f>
        <v/>
      </c>
      <c r="AL15" s="710" t="str">
        <f t="shared" si="4"/>
        <v/>
      </c>
      <c r="AM15" s="652"/>
    </row>
    <row r="16" spans="1:39" hidden="1" x14ac:dyDescent="0.2">
      <c r="A16" s="685">
        <v>9</v>
      </c>
      <c r="B16" s="686" t="s">
        <v>569</v>
      </c>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5"/>
        <v>0</v>
      </c>
      <c r="X16" s="692"/>
      <c r="Y16" s="687">
        <f t="shared" si="6"/>
        <v>0</v>
      </c>
      <c r="Z16" s="688" t="s">
        <v>377</v>
      </c>
      <c r="AA16" s="693">
        <f t="shared" si="7"/>
        <v>0</v>
      </c>
      <c r="AB16" s="694">
        <f t="shared" si="8"/>
        <v>0</v>
      </c>
      <c r="AC16" s="695"/>
      <c r="AD16" s="708">
        <f t="shared" ca="1" si="9"/>
        <v>159</v>
      </c>
      <c r="AE16" s="709">
        <f ca="1">IFERROR(INDEX(Reit!I$8:I$64,MATCH(AF16,Reit!F$8:F$64,0)),"")</f>
        <v>72</v>
      </c>
      <c r="AF16" s="710" t="str">
        <f t="shared" si="1"/>
        <v>Aigi Orro</v>
      </c>
      <c r="AG16" s="709">
        <f ca="1">IFERROR(INDEX(Reit!I$8:I$64,MATCH(AH16,Reit!F$8:F$64,0)),"")</f>
        <v>87</v>
      </c>
      <c r="AH16" s="710" t="str">
        <f t="shared" si="2"/>
        <v>Kalle Orro</v>
      </c>
      <c r="AI16" s="709" t="str">
        <f>IFERROR(INDEX(Reit!I$8:I$64,MATCH(AJ16,Reit!F$8:F$64,0)),"")</f>
        <v/>
      </c>
      <c r="AJ16" s="710" t="str">
        <f t="shared" si="3"/>
        <v/>
      </c>
      <c r="AK16" s="709" t="str">
        <f>IFERROR(INDEX(Reit!I$8:I$64,MATCH(AL16,Reit!F$8:F$64,0)),"")</f>
        <v/>
      </c>
      <c r="AL16" s="710" t="str">
        <f t="shared" si="4"/>
        <v/>
      </c>
      <c r="AM16" s="652"/>
    </row>
    <row r="17" spans="1:39" hidden="1" x14ac:dyDescent="0.2">
      <c r="A17" s="685">
        <v>10</v>
      </c>
      <c r="B17" s="686" t="s">
        <v>576</v>
      </c>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5"/>
        <v>0</v>
      </c>
      <c r="X17" s="692"/>
      <c r="Y17" s="687">
        <f t="shared" si="6"/>
        <v>0</v>
      </c>
      <c r="Z17" s="688" t="s">
        <v>377</v>
      </c>
      <c r="AA17" s="693">
        <f t="shared" si="7"/>
        <v>0</v>
      </c>
      <c r="AB17" s="694">
        <f t="shared" si="8"/>
        <v>0</v>
      </c>
      <c r="AC17" s="695"/>
      <c r="AD17" s="708">
        <f t="shared" ca="1" si="9"/>
        <v>63</v>
      </c>
      <c r="AE17" s="709">
        <f ca="1">IFERROR(INDEX(Reit!I$8:I$64,MATCH(AF17,Reit!F$8:F$64,0)),"")</f>
        <v>46</v>
      </c>
      <c r="AF17" s="710" t="str">
        <f t="shared" si="1"/>
        <v>Liidia Põllu</v>
      </c>
      <c r="AG17" s="709">
        <f ca="1">IFERROR(INDEX(Reit!I$8:I$64,MATCH(AH17,Reit!F$8:F$64,0)),"")</f>
        <v>17</v>
      </c>
      <c r="AH17" s="710" t="str">
        <f t="shared" si="2"/>
        <v>Vladimir Mihhailov</v>
      </c>
      <c r="AI17" s="709" t="str">
        <f>IFERROR(INDEX(Reit!I$8:I$64,MATCH(AJ17,Reit!F$8:F$64,0)),"")</f>
        <v/>
      </c>
      <c r="AJ17" s="710" t="str">
        <f t="shared" si="3"/>
        <v/>
      </c>
      <c r="AK17" s="709" t="str">
        <f>IFERROR(INDEX(Reit!I$8:I$64,MATCH(AL17,Reit!F$8:F$64,0)),"")</f>
        <v/>
      </c>
      <c r="AL17" s="710" t="str">
        <f t="shared" si="4"/>
        <v/>
      </c>
      <c r="AM17" s="652"/>
    </row>
    <row r="18" spans="1:39" hidden="1" x14ac:dyDescent="0.2">
      <c r="A18" s="685">
        <v>11</v>
      </c>
      <c r="B18" s="696" t="s">
        <v>577</v>
      </c>
      <c r="C18" s="687"/>
      <c r="D18" s="688" t="s">
        <v>377</v>
      </c>
      <c r="E18" s="689"/>
      <c r="F18" s="690"/>
      <c r="G18" s="687"/>
      <c r="H18" s="688" t="s">
        <v>377</v>
      </c>
      <c r="I18" s="689"/>
      <c r="J18" s="690"/>
      <c r="K18" s="687"/>
      <c r="L18" s="688" t="s">
        <v>377</v>
      </c>
      <c r="M18" s="689"/>
      <c r="N18" s="690"/>
      <c r="O18" s="687"/>
      <c r="P18" s="688" t="s">
        <v>377</v>
      </c>
      <c r="Q18" s="689"/>
      <c r="R18" s="690"/>
      <c r="S18" s="687"/>
      <c r="T18" s="688" t="s">
        <v>377</v>
      </c>
      <c r="U18" s="689"/>
      <c r="V18" s="690"/>
      <c r="W18" s="691">
        <f t="shared" si="5"/>
        <v>0</v>
      </c>
      <c r="X18" s="692"/>
      <c r="Y18" s="687">
        <f t="shared" si="6"/>
        <v>0</v>
      </c>
      <c r="Z18" s="688" t="s">
        <v>377</v>
      </c>
      <c r="AA18" s="693">
        <f t="shared" si="7"/>
        <v>0</v>
      </c>
      <c r="AB18" s="694">
        <f t="shared" si="8"/>
        <v>0</v>
      </c>
      <c r="AC18" s="695"/>
      <c r="AD18" s="708">
        <f t="shared" ca="1" si="9"/>
        <v>68</v>
      </c>
      <c r="AE18" s="709">
        <f ca="1">IFERROR(INDEX(Reit!I$8:I$64,MATCH(AF18,Reit!F$8:F$64,0)),"")</f>
        <v>39</v>
      </c>
      <c r="AF18" s="710" t="str">
        <f t="shared" si="1"/>
        <v>Illar Tõnurist</v>
      </c>
      <c r="AG18" s="709">
        <f ca="1">IFERROR(INDEX(Reit!I$8:I$64,MATCH(AH18,Reit!F$8:F$64,0)),"")</f>
        <v>29</v>
      </c>
      <c r="AH18" s="710" t="str">
        <f t="shared" si="2"/>
        <v>Tarmo Bombe</v>
      </c>
      <c r="AI18" s="709" t="str">
        <f>IFERROR(INDEX(Reit!I$8:I$64,MATCH(AJ18,Reit!F$8:F$64,0)),"")</f>
        <v/>
      </c>
      <c r="AJ18" s="710" t="str">
        <f t="shared" si="3"/>
        <v/>
      </c>
      <c r="AK18" s="709" t="str">
        <f>IFERROR(INDEX(Reit!I$8:I$64,MATCH(AL18,Reit!F$8:F$64,0)),"")</f>
        <v/>
      </c>
      <c r="AL18" s="710" t="str">
        <f t="shared" si="4"/>
        <v/>
      </c>
      <c r="AM18" s="652"/>
    </row>
    <row r="19" spans="1:39" hidden="1" x14ac:dyDescent="0.2">
      <c r="A19" s="652"/>
      <c r="B19" s="652"/>
      <c r="C19" s="652"/>
      <c r="D19" s="652"/>
      <c r="E19" s="652"/>
      <c r="F19" s="652"/>
      <c r="G19" s="652"/>
      <c r="H19" s="652"/>
      <c r="I19" s="652"/>
      <c r="J19" s="652"/>
      <c r="K19" s="652"/>
      <c r="L19" s="652"/>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row>
    <row r="20" spans="1:39" hidden="1" x14ac:dyDescent="0.2">
      <c r="A20" s="652"/>
      <c r="B20" s="652"/>
      <c r="C20" s="652"/>
      <c r="D20" s="652"/>
      <c r="E20" s="652"/>
      <c r="F20" s="652"/>
      <c r="G20" s="652"/>
      <c r="H20" s="652"/>
      <c r="I20" s="652"/>
      <c r="J20" s="652"/>
      <c r="K20" s="652"/>
      <c r="L20" s="652"/>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row>
    <row r="21" spans="1:39" hidden="1" x14ac:dyDescent="0.2">
      <c r="A21" s="652"/>
      <c r="B21" s="652"/>
      <c r="C21" s="652"/>
      <c r="D21" s="652"/>
      <c r="E21" s="652"/>
      <c r="F21" s="652"/>
      <c r="G21" s="652"/>
      <c r="H21" s="652"/>
      <c r="I21" s="652"/>
      <c r="J21" s="652"/>
      <c r="K21" s="652"/>
      <c r="L21" s="652"/>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row>
    <row r="22" spans="1:39" hidden="1" x14ac:dyDescent="0.2">
      <c r="A22" s="652"/>
      <c r="B22" s="652"/>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row>
    <row r="23" spans="1:39" hidden="1" x14ac:dyDescent="0.2">
      <c r="A23" s="652"/>
      <c r="B23" s="652"/>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row>
    <row r="24" spans="1:39" hidden="1" x14ac:dyDescent="0.2">
      <c r="A24" s="652"/>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row>
    <row r="25" spans="1:39" hidden="1" x14ac:dyDescent="0.2">
      <c r="A25" s="652"/>
      <c r="B25" s="652"/>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row>
    <row r="26" spans="1:39" hidden="1" x14ac:dyDescent="0.2">
      <c r="A26" s="652"/>
      <c r="B26" s="652"/>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row>
    <row r="27" spans="1:39" hidden="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row>
    <row r="28" spans="1:39" hidden="1" x14ac:dyDescent="0.2">
      <c r="A28" s="652"/>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row>
    <row r="29" spans="1:39" hidden="1" x14ac:dyDescent="0.2">
      <c r="A29" s="652"/>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row>
    <row r="30" spans="1:39"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row>
    <row r="31" spans="1:39"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row>
    <row r="32" spans="1:39"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row>
    <row r="33" spans="1:39"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row>
    <row r="34" spans="1:39"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row>
    <row r="35" spans="1:39"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row>
    <row r="36" spans="1:39"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2"/>
    </row>
    <row r="133" spans="1:39"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c r="AH133" s="652"/>
      <c r="AI133" s="652"/>
      <c r="AJ133" s="652"/>
      <c r="AK133" s="652"/>
      <c r="AL133" s="652"/>
      <c r="AM133" s="652"/>
    </row>
    <row r="134" spans="1:39" hidden="1" x14ac:dyDescent="0.2">
      <c r="A134" s="652"/>
      <c r="B134" s="652"/>
      <c r="C134" s="652"/>
      <c r="D134" s="652"/>
      <c r="E134" s="652"/>
      <c r="F134" s="652"/>
      <c r="G134" s="652"/>
      <c r="H134" s="652"/>
      <c r="I134" s="652"/>
      <c r="J134" s="652"/>
      <c r="K134" s="652"/>
      <c r="L134" s="657"/>
      <c r="M134" s="657"/>
      <c r="N134" s="657"/>
      <c r="O134" s="652"/>
      <c r="P134" s="652"/>
      <c r="Q134" s="652"/>
      <c r="R134" s="652"/>
      <c r="S134" s="652"/>
      <c r="T134" s="657"/>
      <c r="U134" s="657"/>
      <c r="V134" s="657"/>
      <c r="W134" s="652"/>
      <c r="X134" s="652"/>
      <c r="Y134" s="652"/>
      <c r="Z134" s="652"/>
      <c r="AA134" s="652"/>
      <c r="AB134" s="652"/>
      <c r="AC134" s="652"/>
      <c r="AD134" s="652"/>
      <c r="AE134" s="652"/>
      <c r="AF134" s="652"/>
      <c r="AG134" s="652"/>
      <c r="AH134" s="652"/>
      <c r="AI134" s="652"/>
      <c r="AJ134" s="652"/>
      <c r="AK134" s="652"/>
      <c r="AL134" s="652"/>
      <c r="AM134" s="652"/>
    </row>
    <row r="135" spans="1:39" hidden="1" x14ac:dyDescent="0.2">
      <c r="A135" s="652"/>
      <c r="B135" s="652"/>
      <c r="C135" s="652"/>
      <c r="D135" s="652"/>
      <c r="E135" s="652"/>
      <c r="F135" s="652"/>
      <c r="G135" s="652"/>
      <c r="H135" s="652"/>
      <c r="I135" s="652"/>
      <c r="J135" s="652"/>
      <c r="K135" s="652"/>
      <c r="L135" s="657"/>
      <c r="M135" s="657"/>
      <c r="N135" s="657"/>
      <c r="O135" s="652"/>
      <c r="P135" s="652"/>
      <c r="Q135" s="652"/>
      <c r="R135" s="652"/>
      <c r="S135" s="652"/>
      <c r="T135" s="657"/>
      <c r="U135" s="657"/>
      <c r="V135" s="657"/>
      <c r="W135" s="652"/>
      <c r="X135" s="652"/>
      <c r="Y135" s="652"/>
      <c r="Z135" s="652"/>
      <c r="AA135" s="652"/>
      <c r="AB135" s="652"/>
      <c r="AC135" s="652"/>
      <c r="AD135" s="652"/>
      <c r="AE135" s="652"/>
      <c r="AF135" s="652"/>
      <c r="AG135" s="652"/>
      <c r="AH135" s="652"/>
      <c r="AI135" s="652"/>
      <c r="AJ135" s="652"/>
      <c r="AK135" s="652"/>
      <c r="AL135" s="652"/>
      <c r="AM135" s="652"/>
    </row>
    <row r="136" spans="1:39" hidden="1" x14ac:dyDescent="0.2">
      <c r="A136" s="652"/>
      <c r="B136" s="652"/>
      <c r="C136" s="652"/>
      <c r="D136" s="652"/>
      <c r="E136" s="652"/>
      <c r="F136" s="652"/>
      <c r="G136" s="652"/>
      <c r="H136" s="652"/>
      <c r="I136" s="652"/>
      <c r="J136" s="652"/>
      <c r="K136" s="652"/>
      <c r="L136" s="657"/>
      <c r="M136" s="657"/>
      <c r="N136" s="657"/>
      <c r="O136" s="652"/>
      <c r="P136" s="652"/>
      <c r="Q136" s="652"/>
      <c r="R136" s="652"/>
      <c r="S136" s="652"/>
      <c r="T136" s="657"/>
      <c r="U136" s="657"/>
      <c r="V136" s="657"/>
      <c r="W136" s="652"/>
      <c r="X136" s="652"/>
      <c r="Y136" s="652"/>
      <c r="Z136" s="652"/>
      <c r="AA136" s="652"/>
      <c r="AB136" s="652"/>
      <c r="AC136" s="652"/>
      <c r="AD136" s="652"/>
      <c r="AE136" s="652"/>
      <c r="AF136" s="652"/>
      <c r="AG136" s="652"/>
      <c r="AH136" s="652"/>
      <c r="AI136" s="652"/>
      <c r="AJ136" s="652"/>
      <c r="AK136" s="652"/>
      <c r="AL136" s="652"/>
      <c r="AM136" s="652"/>
    </row>
    <row r="137" spans="1:39" hidden="1" x14ac:dyDescent="0.2">
      <c r="A137" s="652"/>
      <c r="B137" s="652"/>
      <c r="C137" s="652"/>
      <c r="D137" s="652"/>
      <c r="E137" s="652"/>
      <c r="F137" s="652"/>
      <c r="G137" s="652"/>
      <c r="H137" s="652"/>
      <c r="I137" s="652"/>
      <c r="J137" s="652"/>
      <c r="K137" s="652"/>
      <c r="L137" s="657"/>
      <c r="M137" s="657"/>
      <c r="N137" s="657"/>
      <c r="O137" s="652"/>
      <c r="P137" s="652"/>
      <c r="Q137" s="652"/>
      <c r="R137" s="652"/>
      <c r="S137" s="652"/>
      <c r="T137" s="657"/>
      <c r="U137" s="657"/>
      <c r="V137" s="657"/>
      <c r="W137" s="652"/>
      <c r="X137" s="652"/>
      <c r="Y137" s="652"/>
      <c r="Z137" s="652"/>
      <c r="AA137" s="652"/>
      <c r="AB137" s="652"/>
      <c r="AC137" s="652"/>
      <c r="AD137" s="652"/>
      <c r="AE137" s="652"/>
      <c r="AF137" s="652"/>
      <c r="AG137" s="652"/>
      <c r="AH137" s="652"/>
      <c r="AI137" s="652"/>
      <c r="AJ137" s="652"/>
      <c r="AK137" s="652"/>
      <c r="AL137" s="652"/>
      <c r="AM137" s="652"/>
    </row>
    <row r="138" spans="1:39" hidden="1" x14ac:dyDescent="0.2">
      <c r="A138" s="652"/>
      <c r="B138" s="652"/>
      <c r="C138" s="652"/>
      <c r="D138" s="652"/>
      <c r="E138" s="652"/>
      <c r="F138" s="652"/>
      <c r="G138" s="652"/>
      <c r="H138" s="652"/>
      <c r="I138" s="652"/>
      <c r="J138" s="652"/>
      <c r="K138" s="652"/>
      <c r="L138" s="657"/>
      <c r="M138" s="657"/>
      <c r="N138" s="657"/>
      <c r="O138" s="652"/>
      <c r="P138" s="652"/>
      <c r="Q138" s="652"/>
      <c r="R138" s="652"/>
      <c r="S138" s="652"/>
      <c r="T138" s="657"/>
      <c r="U138" s="657"/>
      <c r="V138" s="657"/>
      <c r="W138" s="652"/>
      <c r="X138" s="652"/>
      <c r="Y138" s="652"/>
      <c r="Z138" s="652"/>
      <c r="AA138" s="652"/>
      <c r="AB138" s="652"/>
      <c r="AC138" s="652"/>
      <c r="AD138" s="652"/>
      <c r="AE138" s="652"/>
      <c r="AF138" s="652"/>
      <c r="AG138" s="652"/>
      <c r="AH138" s="652"/>
      <c r="AI138" s="652"/>
      <c r="AJ138" s="652"/>
      <c r="AK138" s="652"/>
      <c r="AL138" s="652"/>
      <c r="AM138" s="652"/>
    </row>
    <row r="139" spans="1:39" hidden="1" x14ac:dyDescent="0.2">
      <c r="A139" s="652"/>
      <c r="B139" s="652"/>
      <c r="C139" s="652"/>
      <c r="D139" s="652"/>
      <c r="E139" s="652"/>
      <c r="F139" s="652"/>
      <c r="G139" s="652"/>
      <c r="H139" s="652"/>
      <c r="I139" s="652"/>
      <c r="J139" s="652"/>
      <c r="K139" s="652"/>
      <c r="L139" s="657"/>
      <c r="M139" s="657"/>
      <c r="N139" s="657"/>
      <c r="O139" s="652"/>
      <c r="P139" s="652"/>
      <c r="Q139" s="652"/>
      <c r="R139" s="652"/>
      <c r="S139" s="652"/>
      <c r="T139" s="657"/>
      <c r="U139" s="657"/>
      <c r="V139" s="657"/>
      <c r="W139" s="652"/>
      <c r="X139" s="652"/>
      <c r="Y139" s="652"/>
      <c r="Z139" s="652"/>
      <c r="AA139" s="652"/>
      <c r="AB139" s="652"/>
      <c r="AC139" s="652"/>
      <c r="AD139" s="652"/>
      <c r="AE139" s="652"/>
      <c r="AF139" s="652"/>
      <c r="AG139" s="652"/>
      <c r="AH139" s="652"/>
      <c r="AI139" s="652"/>
      <c r="AJ139" s="652"/>
      <c r="AK139" s="652"/>
      <c r="AL139" s="652"/>
      <c r="AM139" s="652"/>
    </row>
    <row r="140" spans="1:39" hidden="1" x14ac:dyDescent="0.2">
      <c r="A140" s="652"/>
      <c r="B140" s="652"/>
      <c r="C140" s="652"/>
      <c r="D140" s="652"/>
      <c r="E140" s="652"/>
      <c r="F140" s="652"/>
      <c r="G140" s="652"/>
      <c r="H140" s="652"/>
      <c r="I140" s="652"/>
      <c r="J140" s="652"/>
      <c r="K140" s="652"/>
      <c r="L140" s="657"/>
      <c r="M140" s="657"/>
      <c r="N140" s="657"/>
      <c r="O140" s="652"/>
      <c r="P140" s="652"/>
      <c r="Q140" s="652"/>
      <c r="R140" s="652"/>
      <c r="S140" s="652"/>
      <c r="T140" s="657"/>
      <c r="U140" s="657"/>
      <c r="V140" s="657"/>
      <c r="W140" s="652"/>
      <c r="X140" s="652"/>
      <c r="Y140" s="652"/>
      <c r="Z140" s="652"/>
      <c r="AA140" s="652"/>
      <c r="AB140" s="652"/>
      <c r="AC140" s="652"/>
      <c r="AD140" s="652"/>
      <c r="AE140" s="652"/>
      <c r="AF140" s="652"/>
      <c r="AG140" s="652"/>
      <c r="AH140" s="652"/>
      <c r="AI140" s="652"/>
      <c r="AJ140" s="652"/>
      <c r="AK140" s="652"/>
      <c r="AL140" s="652"/>
      <c r="AM140" s="652"/>
    </row>
    <row r="141" spans="1:39" hidden="1" x14ac:dyDescent="0.2">
      <c r="A141" s="652"/>
      <c r="B141" s="652"/>
      <c r="C141" s="652"/>
      <c r="D141" s="652"/>
      <c r="E141" s="652"/>
      <c r="F141" s="652"/>
      <c r="G141" s="652"/>
      <c r="H141" s="652"/>
      <c r="I141" s="652"/>
      <c r="J141" s="652"/>
      <c r="K141" s="652"/>
      <c r="L141" s="657"/>
      <c r="M141" s="657"/>
      <c r="N141" s="657"/>
      <c r="O141" s="652"/>
      <c r="P141" s="652"/>
      <c r="Q141" s="652"/>
      <c r="R141" s="652"/>
      <c r="S141" s="652"/>
      <c r="T141" s="657"/>
      <c r="U141" s="657"/>
      <c r="V141" s="657"/>
      <c r="W141" s="652"/>
      <c r="X141" s="652"/>
      <c r="Y141" s="652"/>
      <c r="Z141" s="652"/>
      <c r="AA141" s="652"/>
      <c r="AB141" s="652"/>
      <c r="AC141" s="652"/>
      <c r="AD141" s="652"/>
      <c r="AE141" s="652"/>
      <c r="AF141" s="652"/>
      <c r="AG141" s="652"/>
      <c r="AH141" s="652"/>
      <c r="AI141" s="652"/>
      <c r="AJ141" s="652"/>
      <c r="AK141" s="652"/>
      <c r="AL141" s="652"/>
      <c r="AM141" s="652"/>
    </row>
    <row r="142" spans="1:39" hidden="1" x14ac:dyDescent="0.2">
      <c r="A142" s="652"/>
      <c r="B142" s="652"/>
      <c r="C142" s="652"/>
      <c r="D142" s="652"/>
      <c r="E142" s="652"/>
      <c r="F142" s="652"/>
      <c r="G142" s="652"/>
      <c r="H142" s="652"/>
      <c r="I142" s="652"/>
      <c r="J142" s="652"/>
      <c r="K142" s="652"/>
      <c r="L142" s="657"/>
      <c r="M142" s="657"/>
      <c r="N142" s="657"/>
      <c r="O142" s="652"/>
      <c r="P142" s="652"/>
      <c r="Q142" s="652"/>
      <c r="R142" s="652"/>
      <c r="S142" s="652"/>
      <c r="T142" s="657"/>
      <c r="U142" s="657"/>
      <c r="V142" s="657"/>
      <c r="W142" s="652"/>
      <c r="X142" s="652"/>
      <c r="Y142" s="652"/>
      <c r="Z142" s="652"/>
      <c r="AA142" s="652"/>
      <c r="AB142" s="652"/>
      <c r="AC142" s="652"/>
      <c r="AD142" s="652"/>
      <c r="AE142" s="652"/>
      <c r="AF142" s="652"/>
      <c r="AG142" s="652"/>
      <c r="AH142" s="652"/>
      <c r="AI142" s="652"/>
      <c r="AJ142" s="652"/>
      <c r="AK142" s="652"/>
      <c r="AL142" s="652"/>
      <c r="AM142" s="652"/>
    </row>
    <row r="143" spans="1:39" hidden="1" x14ac:dyDescent="0.2">
      <c r="A143" s="652"/>
      <c r="B143" s="652"/>
      <c r="C143" s="652"/>
      <c r="D143" s="652"/>
      <c r="E143" s="652"/>
      <c r="F143" s="652"/>
      <c r="G143" s="652"/>
      <c r="H143" s="652"/>
      <c r="I143" s="652"/>
      <c r="J143" s="652"/>
      <c r="K143" s="652"/>
      <c r="L143" s="657"/>
      <c r="M143" s="657"/>
      <c r="N143" s="657"/>
      <c r="O143" s="652"/>
      <c r="P143" s="652"/>
      <c r="Q143" s="652"/>
      <c r="R143" s="652"/>
      <c r="S143" s="652"/>
      <c r="T143" s="657"/>
      <c r="U143" s="657"/>
      <c r="V143" s="657"/>
      <c r="W143" s="652"/>
      <c r="X143" s="652"/>
      <c r="Y143" s="652"/>
      <c r="Z143" s="652"/>
      <c r="AA143" s="652"/>
      <c r="AB143" s="652"/>
      <c r="AC143" s="652"/>
      <c r="AD143" s="652"/>
      <c r="AE143" s="652"/>
      <c r="AF143" s="652"/>
      <c r="AG143" s="652"/>
      <c r="AH143" s="652"/>
      <c r="AI143" s="652"/>
      <c r="AJ143" s="652"/>
      <c r="AK143" s="652"/>
      <c r="AL143" s="652"/>
      <c r="AM143" s="652"/>
    </row>
    <row r="144" spans="1:39" hidden="1" x14ac:dyDescent="0.2">
      <c r="A144" s="652"/>
      <c r="B144" s="652"/>
      <c r="C144" s="652"/>
      <c r="D144" s="652"/>
      <c r="E144" s="652"/>
      <c r="F144" s="652"/>
      <c r="G144" s="652"/>
      <c r="H144" s="652"/>
      <c r="I144" s="652"/>
      <c r="J144" s="652"/>
      <c r="K144" s="652"/>
      <c r="L144" s="657"/>
      <c r="M144" s="657"/>
      <c r="N144" s="657"/>
      <c r="O144" s="652"/>
      <c r="P144" s="652"/>
      <c r="Q144" s="652"/>
      <c r="R144" s="652"/>
      <c r="S144" s="652"/>
      <c r="T144" s="657"/>
      <c r="U144" s="657"/>
      <c r="V144" s="657"/>
      <c r="W144" s="652"/>
      <c r="X144" s="652"/>
      <c r="Y144" s="652"/>
      <c r="Z144" s="652"/>
      <c r="AA144" s="652"/>
      <c r="AB144" s="652"/>
      <c r="AC144" s="652"/>
      <c r="AD144" s="652"/>
      <c r="AE144" s="652"/>
      <c r="AF144" s="652"/>
      <c r="AG144" s="652"/>
      <c r="AH144" s="652"/>
      <c r="AI144" s="652"/>
      <c r="AJ144" s="652"/>
      <c r="AK144" s="652"/>
      <c r="AL144" s="652"/>
      <c r="AM144" s="652"/>
    </row>
    <row r="145" spans="1:39"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652"/>
      <c r="AF145" s="652"/>
      <c r="AG145" s="652"/>
      <c r="AH145" s="652"/>
      <c r="AI145" s="652"/>
      <c r="AJ145" s="652"/>
      <c r="AK145" s="652"/>
      <c r="AL145" s="652"/>
      <c r="AM145" s="652"/>
    </row>
    <row r="146" spans="1:39"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652"/>
      <c r="AF146" s="652"/>
      <c r="AG146" s="652"/>
      <c r="AH146" s="652"/>
      <c r="AI146" s="652"/>
      <c r="AJ146" s="652"/>
      <c r="AK146" s="652"/>
      <c r="AL146" s="652"/>
      <c r="AM146" s="652"/>
    </row>
    <row r="147" spans="1:39"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c r="AI148" s="652"/>
      <c r="AJ148" s="652"/>
      <c r="AK148" s="652"/>
      <c r="AL148" s="652"/>
      <c r="AM148" s="652"/>
    </row>
    <row r="149" spans="1:39"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c r="AH149" s="652"/>
      <c r="AI149" s="652"/>
      <c r="AJ149" s="652"/>
      <c r="AK149" s="652"/>
      <c r="AL149" s="652"/>
      <c r="AM149" s="652"/>
    </row>
    <row r="150" spans="1:39" hidden="1" x14ac:dyDescent="0.2">
      <c r="A150" s="652"/>
      <c r="B150" s="652"/>
      <c r="C150" s="652"/>
      <c r="D150" s="652"/>
      <c r="E150" s="652"/>
      <c r="F150" s="652"/>
      <c r="G150" s="652"/>
      <c r="H150" s="652"/>
      <c r="I150" s="652"/>
      <c r="J150" s="652"/>
      <c r="K150" s="652"/>
      <c r="L150" s="652"/>
      <c r="M150" s="652"/>
      <c r="N150" s="652"/>
      <c r="O150" s="652"/>
      <c r="P150" s="652"/>
      <c r="Q150" s="652"/>
      <c r="R150" s="652"/>
      <c r="S150" s="652"/>
      <c r="T150" s="652"/>
      <c r="U150" s="652"/>
      <c r="V150" s="652"/>
      <c r="W150" s="652"/>
      <c r="X150" s="652"/>
      <c r="Y150" s="652"/>
      <c r="Z150" s="652"/>
      <c r="AA150" s="652"/>
      <c r="AB150" s="652"/>
      <c r="AC150" s="652"/>
      <c r="AD150" s="652"/>
      <c r="AE150" s="652"/>
      <c r="AF150" s="652"/>
      <c r="AG150" s="652"/>
      <c r="AH150" s="652"/>
      <c r="AI150" s="652"/>
      <c r="AJ150" s="652"/>
      <c r="AK150" s="652"/>
      <c r="AL150" s="652"/>
      <c r="AM150" s="652"/>
    </row>
    <row r="151" spans="1:39" hidden="1" x14ac:dyDescent="0.2">
      <c r="A151" s="652"/>
      <c r="B151" s="652"/>
      <c r="C151" s="652"/>
      <c r="D151" s="652"/>
      <c r="E151" s="652"/>
      <c r="F151" s="652"/>
      <c r="G151" s="652"/>
      <c r="H151" s="652"/>
      <c r="I151" s="652"/>
      <c r="J151" s="652"/>
      <c r="K151" s="652"/>
      <c r="L151" s="652"/>
      <c r="M151" s="652"/>
      <c r="N151" s="652"/>
      <c r="O151" s="652"/>
      <c r="P151" s="652"/>
      <c r="Q151" s="652"/>
      <c r="R151" s="652"/>
      <c r="S151" s="652"/>
      <c r="T151" s="652"/>
      <c r="U151" s="652"/>
      <c r="V151" s="652"/>
      <c r="W151" s="652"/>
      <c r="X151" s="652"/>
      <c r="Y151" s="652"/>
      <c r="Z151" s="652"/>
      <c r="AA151" s="652"/>
      <c r="AB151" s="652"/>
      <c r="AC151" s="652"/>
      <c r="AD151" s="652"/>
      <c r="AE151" s="652"/>
      <c r="AF151" s="652"/>
      <c r="AG151" s="652"/>
      <c r="AH151" s="652"/>
      <c r="AI151" s="652"/>
      <c r="AJ151" s="652"/>
      <c r="AK151" s="652"/>
      <c r="AL151" s="652"/>
      <c r="AM151" s="652"/>
    </row>
    <row r="152" spans="1:39" hidden="1" x14ac:dyDescent="0.2">
      <c r="A152" s="652"/>
      <c r="B152" s="652"/>
      <c r="C152" s="652"/>
      <c r="D152" s="652"/>
      <c r="E152" s="652"/>
      <c r="F152" s="652"/>
      <c r="G152" s="652"/>
      <c r="H152" s="652"/>
      <c r="I152" s="652"/>
      <c r="J152" s="652"/>
      <c r="K152" s="652"/>
      <c r="L152" s="652"/>
      <c r="M152" s="652"/>
      <c r="N152" s="652"/>
      <c r="O152" s="652"/>
      <c r="P152" s="652"/>
      <c r="Q152" s="652"/>
      <c r="R152" s="652"/>
      <c r="S152" s="652"/>
      <c r="T152" s="652"/>
      <c r="U152" s="652"/>
      <c r="V152" s="652"/>
      <c r="W152" s="652"/>
      <c r="X152" s="652"/>
      <c r="Y152" s="652"/>
      <c r="Z152" s="652"/>
      <c r="AA152" s="652"/>
      <c r="AB152" s="652"/>
      <c r="AC152" s="652"/>
      <c r="AD152" s="652"/>
      <c r="AE152" s="652"/>
      <c r="AF152" s="652"/>
      <c r="AG152" s="652"/>
      <c r="AH152" s="652"/>
      <c r="AI152" s="652"/>
      <c r="AJ152" s="652"/>
      <c r="AK152" s="652"/>
      <c r="AL152" s="652"/>
      <c r="AM152" s="652"/>
    </row>
    <row r="153" spans="1:39" hidden="1" x14ac:dyDescent="0.2">
      <c r="A153" s="652"/>
      <c r="B153" s="652"/>
      <c r="C153" s="652"/>
      <c r="D153" s="652"/>
      <c r="E153" s="652"/>
      <c r="F153" s="652"/>
      <c r="G153" s="652"/>
      <c r="H153" s="652"/>
      <c r="I153" s="652"/>
      <c r="J153" s="652"/>
      <c r="K153" s="652"/>
      <c r="L153" s="652"/>
      <c r="M153" s="652"/>
      <c r="N153" s="652"/>
      <c r="O153" s="652"/>
      <c r="P153" s="652"/>
      <c r="Q153" s="652"/>
      <c r="R153" s="652"/>
      <c r="S153" s="652"/>
      <c r="T153" s="652"/>
      <c r="U153" s="652"/>
      <c r="V153" s="652"/>
      <c r="W153" s="652"/>
      <c r="X153" s="652"/>
      <c r="Y153" s="652"/>
      <c r="Z153" s="652"/>
      <c r="AA153" s="652"/>
      <c r="AB153" s="652"/>
      <c r="AC153" s="652"/>
      <c r="AD153" s="652"/>
      <c r="AE153" s="652"/>
      <c r="AF153" s="652"/>
      <c r="AG153" s="652"/>
      <c r="AH153" s="652"/>
      <c r="AI153" s="652"/>
      <c r="AJ153" s="652"/>
      <c r="AK153" s="652"/>
      <c r="AL153" s="652"/>
      <c r="AM153" s="652"/>
    </row>
    <row r="154" spans="1:39" hidden="1" x14ac:dyDescent="0.2">
      <c r="A154" s="652"/>
      <c r="B154" s="652"/>
      <c r="C154" s="652"/>
      <c r="D154" s="652"/>
      <c r="E154" s="652"/>
      <c r="F154" s="652"/>
      <c r="G154" s="652"/>
      <c r="H154" s="652"/>
      <c r="I154" s="652"/>
      <c r="J154" s="652"/>
      <c r="K154" s="652"/>
      <c r="L154" s="652"/>
      <c r="M154" s="652"/>
      <c r="N154" s="652"/>
      <c r="O154" s="652"/>
      <c r="P154" s="652"/>
      <c r="Q154" s="652"/>
      <c r="R154" s="652"/>
      <c r="S154" s="652"/>
      <c r="T154" s="652"/>
      <c r="U154" s="652"/>
      <c r="V154" s="652"/>
      <c r="W154" s="652"/>
      <c r="X154" s="652"/>
      <c r="Y154" s="652"/>
      <c r="Z154" s="652"/>
      <c r="AA154" s="652"/>
      <c r="AB154" s="652"/>
      <c r="AC154" s="652"/>
      <c r="AD154" s="652"/>
      <c r="AE154" s="652"/>
      <c r="AF154" s="652"/>
      <c r="AG154" s="652"/>
      <c r="AH154" s="652"/>
      <c r="AI154" s="652"/>
      <c r="AJ154" s="652"/>
      <c r="AK154" s="652"/>
      <c r="AL154" s="652"/>
      <c r="AM154" s="652"/>
    </row>
    <row r="155" spans="1:39" hidden="1" x14ac:dyDescent="0.2">
      <c r="A155" s="652"/>
      <c r="B155" s="652"/>
      <c r="C155" s="652"/>
      <c r="D155" s="652"/>
      <c r="E155" s="652"/>
      <c r="F155" s="652"/>
      <c r="G155" s="652"/>
      <c r="H155" s="652"/>
      <c r="I155" s="652"/>
      <c r="J155" s="652"/>
      <c r="K155" s="652"/>
      <c r="L155" s="652"/>
      <c r="M155" s="652"/>
      <c r="N155" s="652"/>
      <c r="O155" s="652"/>
      <c r="P155" s="652"/>
      <c r="Q155" s="652"/>
      <c r="R155" s="652"/>
      <c r="S155" s="652"/>
      <c r="T155" s="652"/>
      <c r="U155" s="652"/>
      <c r="V155" s="652"/>
      <c r="W155" s="652"/>
      <c r="X155" s="652"/>
      <c r="Y155" s="652"/>
      <c r="Z155" s="652"/>
      <c r="AA155" s="652"/>
      <c r="AB155" s="652"/>
      <c r="AC155" s="652"/>
      <c r="AD155" s="652"/>
      <c r="AE155" s="652"/>
      <c r="AF155" s="652"/>
      <c r="AG155" s="652"/>
      <c r="AH155" s="652"/>
      <c r="AI155" s="652"/>
      <c r="AJ155" s="652"/>
      <c r="AK155" s="652"/>
      <c r="AL155" s="652"/>
      <c r="AM155" s="652"/>
    </row>
    <row r="156" spans="1:39" hidden="1" x14ac:dyDescent="0.2">
      <c r="A156" s="652"/>
      <c r="B156" s="652"/>
      <c r="C156" s="652"/>
      <c r="D156" s="652"/>
      <c r="E156" s="652"/>
      <c r="F156" s="652"/>
      <c r="G156" s="652"/>
      <c r="H156" s="652"/>
      <c r="I156" s="652"/>
      <c r="J156" s="652"/>
      <c r="K156" s="652"/>
      <c r="L156" s="652"/>
      <c r="M156" s="652"/>
      <c r="N156" s="652"/>
      <c r="O156" s="652"/>
      <c r="P156" s="652"/>
      <c r="Q156" s="652"/>
      <c r="R156" s="652"/>
      <c r="S156" s="652"/>
      <c r="T156" s="652"/>
      <c r="U156" s="652"/>
      <c r="V156" s="652"/>
      <c r="W156" s="652"/>
      <c r="X156" s="652"/>
      <c r="Y156" s="652"/>
      <c r="Z156" s="652"/>
      <c r="AA156" s="652"/>
      <c r="AB156" s="652"/>
      <c r="AC156" s="652"/>
      <c r="AD156" s="652"/>
      <c r="AE156" s="652"/>
      <c r="AF156" s="652"/>
      <c r="AG156" s="652"/>
      <c r="AH156" s="652"/>
      <c r="AI156" s="652"/>
      <c r="AJ156" s="652"/>
      <c r="AK156" s="652"/>
      <c r="AL156" s="652"/>
      <c r="AM156" s="652"/>
    </row>
    <row r="157" spans="1:39" hidden="1" x14ac:dyDescent="0.2">
      <c r="A157" s="652"/>
      <c r="B157" s="652"/>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652"/>
      <c r="AK157" s="652"/>
      <c r="AL157" s="652"/>
      <c r="AM157" s="652"/>
    </row>
    <row r="158" spans="1:39" hidden="1" x14ac:dyDescent="0.2">
      <c r="A158" s="652"/>
      <c r="B158" s="652"/>
      <c r="C158" s="652"/>
      <c r="D158" s="652"/>
      <c r="E158" s="652"/>
      <c r="F158" s="652"/>
      <c r="G158" s="652"/>
      <c r="H158" s="652"/>
      <c r="I158" s="652"/>
      <c r="J158" s="652"/>
      <c r="K158" s="652"/>
      <c r="L158" s="652"/>
      <c r="M158" s="652"/>
      <c r="N158" s="652"/>
      <c r="O158" s="652"/>
      <c r="P158" s="652"/>
      <c r="Q158" s="652"/>
      <c r="R158" s="652"/>
      <c r="S158" s="652"/>
      <c r="T158" s="652"/>
      <c r="U158" s="652"/>
      <c r="V158" s="652"/>
      <c r="W158" s="652"/>
      <c r="X158" s="652"/>
      <c r="Y158" s="652"/>
      <c r="Z158" s="652"/>
      <c r="AA158" s="652"/>
      <c r="AB158" s="652"/>
      <c r="AC158" s="652"/>
      <c r="AD158" s="652"/>
      <c r="AE158" s="652"/>
      <c r="AF158" s="652"/>
      <c r="AG158" s="652"/>
      <c r="AH158" s="652"/>
      <c r="AI158" s="652"/>
      <c r="AJ158" s="652"/>
      <c r="AK158" s="652"/>
      <c r="AL158" s="652"/>
      <c r="AM158" s="652"/>
    </row>
    <row r="159" spans="1:39" hidden="1" x14ac:dyDescent="0.2">
      <c r="A159" s="652"/>
      <c r="B159" s="652"/>
      <c r="C159" s="652"/>
      <c r="D159" s="652"/>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652"/>
      <c r="AF159" s="652"/>
      <c r="AG159" s="652"/>
      <c r="AH159" s="652"/>
      <c r="AI159" s="652"/>
      <c r="AJ159" s="652"/>
      <c r="AK159" s="652"/>
      <c r="AL159" s="652"/>
      <c r="AM159" s="652"/>
    </row>
    <row r="160" spans="1:39" hidden="1" x14ac:dyDescent="0.2">
      <c r="A160" s="652"/>
      <c r="B160" s="652"/>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row>
    <row r="161" spans="1:39"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row>
    <row r="162" spans="1:39" hidden="1" x14ac:dyDescent="0.2">
      <c r="A162" s="652"/>
      <c r="B162" s="652"/>
      <c r="C162" s="652"/>
      <c r="D162" s="652"/>
      <c r="E162" s="652"/>
      <c r="F162" s="652"/>
      <c r="G162" s="652"/>
      <c r="H162" s="652"/>
      <c r="I162" s="652"/>
      <c r="J162" s="652"/>
      <c r="K162" s="652"/>
      <c r="L162" s="652"/>
      <c r="M162" s="652"/>
      <c r="N162" s="652"/>
      <c r="O162" s="652"/>
      <c r="P162" s="652"/>
      <c r="Q162" s="652"/>
      <c r="R162" s="652"/>
      <c r="S162" s="652"/>
      <c r="T162" s="652"/>
      <c r="U162" s="652"/>
      <c r="V162" s="652"/>
      <c r="W162" s="652"/>
      <c r="X162" s="652"/>
      <c r="Y162" s="652"/>
      <c r="Z162" s="652"/>
      <c r="AA162" s="652"/>
      <c r="AB162" s="652"/>
      <c r="AC162" s="652"/>
      <c r="AD162" s="652"/>
      <c r="AE162" s="652"/>
      <c r="AF162" s="652"/>
      <c r="AG162" s="652"/>
      <c r="AH162" s="652"/>
      <c r="AI162" s="652"/>
      <c r="AJ162" s="652"/>
      <c r="AK162" s="652"/>
      <c r="AL162" s="652"/>
      <c r="AM162" s="652"/>
    </row>
    <row r="163" spans="1:39" hidden="1" x14ac:dyDescent="0.2">
      <c r="A163" s="652"/>
      <c r="B163" s="652"/>
      <c r="C163" s="652"/>
      <c r="D163" s="652"/>
      <c r="E163" s="652"/>
      <c r="F163" s="652"/>
      <c r="G163" s="652"/>
      <c r="H163" s="652"/>
      <c r="I163" s="652"/>
      <c r="J163" s="652"/>
      <c r="K163" s="652"/>
      <c r="L163" s="657"/>
      <c r="M163" s="657"/>
      <c r="N163" s="657"/>
      <c r="O163" s="652"/>
      <c r="P163" s="652"/>
      <c r="Q163" s="652"/>
      <c r="R163" s="652"/>
      <c r="S163" s="652"/>
      <c r="T163" s="657"/>
      <c r="U163" s="657"/>
      <c r="V163" s="657"/>
      <c r="W163" s="652"/>
      <c r="X163" s="652"/>
      <c r="Y163" s="652"/>
      <c r="Z163" s="652"/>
      <c r="AA163" s="652"/>
      <c r="AB163" s="652"/>
      <c r="AC163" s="652"/>
      <c r="AD163" s="652"/>
      <c r="AE163" s="652"/>
      <c r="AF163" s="652"/>
      <c r="AG163" s="652"/>
      <c r="AH163" s="652"/>
      <c r="AI163" s="652"/>
      <c r="AJ163" s="652"/>
      <c r="AK163" s="652"/>
      <c r="AL163" s="652"/>
      <c r="AM163" s="652"/>
    </row>
    <row r="164" spans="1:39" hidden="1" x14ac:dyDescent="0.2">
      <c r="A164" s="652"/>
      <c r="B164" s="652"/>
      <c r="C164" s="652"/>
      <c r="D164" s="652"/>
      <c r="E164" s="652"/>
      <c r="F164" s="652"/>
      <c r="G164" s="652"/>
      <c r="H164" s="652"/>
      <c r="I164" s="652"/>
      <c r="J164" s="652"/>
      <c r="K164" s="652"/>
      <c r="L164" s="657"/>
      <c r="M164" s="657"/>
      <c r="N164" s="657"/>
      <c r="O164" s="652"/>
      <c r="P164" s="652"/>
      <c r="Q164" s="652"/>
      <c r="R164" s="652"/>
      <c r="S164" s="652"/>
      <c r="T164" s="657"/>
      <c r="U164" s="657"/>
      <c r="V164" s="657"/>
      <c r="W164" s="652"/>
      <c r="X164" s="652"/>
      <c r="Y164" s="652"/>
      <c r="Z164" s="652"/>
      <c r="AA164" s="652"/>
      <c r="AB164" s="652"/>
      <c r="AC164" s="652"/>
      <c r="AD164" s="652"/>
      <c r="AE164" s="652"/>
      <c r="AF164" s="652"/>
      <c r="AG164" s="652"/>
      <c r="AH164" s="652"/>
      <c r="AI164" s="652"/>
      <c r="AJ164" s="652"/>
      <c r="AK164" s="652"/>
      <c r="AL164" s="652"/>
      <c r="AM164" s="652"/>
    </row>
    <row r="165" spans="1:39" hidden="1" x14ac:dyDescent="0.2">
      <c r="A165" s="652"/>
      <c r="B165" s="652"/>
      <c r="C165" s="652"/>
      <c r="D165" s="652"/>
      <c r="E165" s="652"/>
      <c r="F165" s="652"/>
      <c r="G165" s="652"/>
      <c r="H165" s="652"/>
      <c r="I165" s="652"/>
      <c r="J165" s="652"/>
      <c r="K165" s="652"/>
      <c r="L165" s="657"/>
      <c r="M165" s="657"/>
      <c r="N165" s="657"/>
      <c r="O165" s="652"/>
      <c r="P165" s="652"/>
      <c r="Q165" s="652"/>
      <c r="R165" s="652"/>
      <c r="S165" s="652"/>
      <c r="T165" s="657"/>
      <c r="U165" s="657"/>
      <c r="V165" s="657"/>
      <c r="W165" s="652"/>
      <c r="X165" s="652"/>
      <c r="Y165" s="652"/>
      <c r="Z165" s="652"/>
      <c r="AA165" s="652"/>
      <c r="AB165" s="652"/>
      <c r="AC165" s="652"/>
      <c r="AD165" s="652"/>
      <c r="AE165" s="652"/>
      <c r="AF165" s="652"/>
      <c r="AG165" s="652"/>
      <c r="AH165" s="652"/>
      <c r="AI165" s="652"/>
      <c r="AJ165" s="652"/>
      <c r="AK165" s="652"/>
      <c r="AL165" s="652"/>
      <c r="AM165" s="652"/>
    </row>
    <row r="166" spans="1:39" hidden="1" x14ac:dyDescent="0.2">
      <c r="A166" s="652"/>
      <c r="B166" s="652"/>
      <c r="C166" s="652"/>
      <c r="D166" s="652"/>
      <c r="E166" s="652"/>
      <c r="F166" s="652"/>
      <c r="G166" s="652"/>
      <c r="H166" s="652"/>
      <c r="I166" s="652"/>
      <c r="J166" s="652"/>
      <c r="K166" s="652"/>
      <c r="L166" s="657"/>
      <c r="M166" s="657"/>
      <c r="N166" s="657"/>
      <c r="O166" s="652"/>
      <c r="P166" s="652"/>
      <c r="Q166" s="652"/>
      <c r="R166" s="652"/>
      <c r="S166" s="652"/>
      <c r="T166" s="657"/>
      <c r="U166" s="657"/>
      <c r="V166" s="657"/>
      <c r="W166" s="652"/>
      <c r="X166" s="652"/>
      <c r="Y166" s="652"/>
      <c r="Z166" s="652"/>
      <c r="AA166" s="652"/>
      <c r="AB166" s="652"/>
      <c r="AC166" s="652"/>
      <c r="AD166" s="652"/>
      <c r="AE166" s="652"/>
      <c r="AF166" s="652"/>
      <c r="AG166" s="652"/>
      <c r="AH166" s="652"/>
      <c r="AI166" s="652"/>
      <c r="AJ166" s="652"/>
      <c r="AK166" s="652"/>
      <c r="AL166" s="652"/>
      <c r="AM166" s="652"/>
    </row>
    <row r="167" spans="1:39" hidden="1" x14ac:dyDescent="0.2">
      <c r="A167" s="652"/>
      <c r="B167" s="652"/>
      <c r="C167" s="652"/>
      <c r="D167" s="652"/>
      <c r="E167" s="652"/>
      <c r="F167" s="652"/>
      <c r="G167" s="652"/>
      <c r="H167" s="652"/>
      <c r="I167" s="652"/>
      <c r="J167" s="652"/>
      <c r="K167" s="652"/>
      <c r="L167" s="657"/>
      <c r="M167" s="657"/>
      <c r="N167" s="657"/>
      <c r="O167" s="652"/>
      <c r="P167" s="652"/>
      <c r="Q167" s="652"/>
      <c r="R167" s="652"/>
      <c r="S167" s="652"/>
      <c r="T167" s="657"/>
      <c r="U167" s="657"/>
      <c r="V167" s="657"/>
      <c r="W167" s="652"/>
      <c r="X167" s="652"/>
      <c r="Y167" s="652"/>
      <c r="Z167" s="652"/>
      <c r="AA167" s="652"/>
      <c r="AB167" s="652"/>
      <c r="AC167" s="652"/>
      <c r="AD167" s="652"/>
      <c r="AE167" s="652"/>
      <c r="AF167" s="652"/>
      <c r="AG167" s="652"/>
      <c r="AH167" s="652"/>
      <c r="AI167" s="652"/>
      <c r="AJ167" s="652"/>
      <c r="AK167" s="652"/>
      <c r="AL167" s="652"/>
      <c r="AM167" s="652"/>
    </row>
    <row r="168" spans="1:39" hidden="1" x14ac:dyDescent="0.2">
      <c r="A168" s="652"/>
      <c r="B168" s="652"/>
      <c r="C168" s="652"/>
      <c r="D168" s="652"/>
      <c r="E168" s="652"/>
      <c r="F168" s="652"/>
      <c r="G168" s="652"/>
      <c r="H168" s="652"/>
      <c r="I168" s="652"/>
      <c r="J168" s="652"/>
      <c r="K168" s="652"/>
      <c r="L168" s="657"/>
      <c r="M168" s="657"/>
      <c r="N168" s="657"/>
      <c r="O168" s="652"/>
      <c r="P168" s="652"/>
      <c r="Q168" s="652"/>
      <c r="R168" s="652"/>
      <c r="S168" s="652"/>
      <c r="T168" s="657"/>
      <c r="U168" s="657"/>
      <c r="V168" s="657"/>
      <c r="W168" s="652"/>
      <c r="X168" s="652"/>
      <c r="Y168" s="652"/>
      <c r="Z168" s="652"/>
      <c r="AA168" s="652"/>
      <c r="AB168" s="652"/>
      <c r="AC168" s="652"/>
      <c r="AD168" s="652"/>
      <c r="AE168" s="652"/>
      <c r="AF168" s="652"/>
      <c r="AG168" s="652"/>
      <c r="AH168" s="652"/>
      <c r="AI168" s="652"/>
      <c r="AJ168" s="652"/>
      <c r="AK168" s="652"/>
      <c r="AL168" s="652"/>
      <c r="AM168" s="652"/>
    </row>
    <row r="169" spans="1:39" hidden="1" x14ac:dyDescent="0.2">
      <c r="A169" s="652"/>
      <c r="B169" s="652"/>
      <c r="C169" s="652"/>
      <c r="D169" s="652"/>
      <c r="E169" s="652"/>
      <c r="F169" s="652"/>
      <c r="G169" s="652"/>
      <c r="H169" s="652"/>
      <c r="I169" s="652"/>
      <c r="J169" s="652"/>
      <c r="K169" s="652"/>
      <c r="L169" s="657"/>
      <c r="M169" s="657"/>
      <c r="N169" s="657"/>
      <c r="O169" s="652"/>
      <c r="P169" s="652"/>
      <c r="Q169" s="652"/>
      <c r="R169" s="652"/>
      <c r="S169" s="652"/>
      <c r="T169" s="657"/>
      <c r="U169" s="657"/>
      <c r="V169" s="657"/>
      <c r="W169" s="652"/>
      <c r="X169" s="652"/>
      <c r="Y169" s="652"/>
      <c r="Z169" s="652"/>
      <c r="AA169" s="652"/>
      <c r="AB169" s="652"/>
      <c r="AC169" s="652"/>
      <c r="AD169" s="652"/>
      <c r="AE169" s="652"/>
      <c r="AF169" s="652"/>
      <c r="AG169" s="652"/>
      <c r="AH169" s="652"/>
      <c r="AI169" s="652"/>
      <c r="AJ169" s="652"/>
      <c r="AK169" s="652"/>
      <c r="AL169" s="652"/>
      <c r="AM169" s="652"/>
    </row>
    <row r="170" spans="1:39" hidden="1" x14ac:dyDescent="0.2">
      <c r="A170" s="652"/>
      <c r="B170" s="652"/>
      <c r="C170" s="652"/>
      <c r="D170" s="652"/>
      <c r="E170" s="652"/>
      <c r="F170" s="652"/>
      <c r="G170" s="652"/>
      <c r="H170" s="652"/>
      <c r="I170" s="652"/>
      <c r="J170" s="652"/>
      <c r="K170" s="652"/>
      <c r="L170" s="657"/>
      <c r="M170" s="657"/>
      <c r="N170" s="657"/>
      <c r="O170" s="652"/>
      <c r="P170" s="652"/>
      <c r="Q170" s="652"/>
      <c r="R170" s="652"/>
      <c r="S170" s="652"/>
      <c r="T170" s="657"/>
      <c r="U170" s="657"/>
      <c r="V170" s="657"/>
      <c r="W170" s="652"/>
      <c r="X170" s="652"/>
      <c r="Y170" s="652"/>
      <c r="Z170" s="652"/>
      <c r="AA170" s="652"/>
      <c r="AB170" s="652"/>
      <c r="AC170" s="652"/>
      <c r="AD170" s="652"/>
      <c r="AE170" s="652"/>
      <c r="AF170" s="652"/>
      <c r="AG170" s="652"/>
      <c r="AH170" s="652"/>
      <c r="AI170" s="652"/>
      <c r="AJ170" s="652"/>
      <c r="AK170" s="652"/>
      <c r="AL170" s="652"/>
      <c r="AM170" s="652"/>
    </row>
    <row r="171" spans="1:39" hidden="1" x14ac:dyDescent="0.2">
      <c r="A171" s="652"/>
      <c r="B171" s="652"/>
      <c r="C171" s="652"/>
      <c r="D171" s="652"/>
      <c r="E171" s="652"/>
      <c r="F171" s="652"/>
      <c r="G171" s="652"/>
      <c r="H171" s="652"/>
      <c r="I171" s="652"/>
      <c r="J171" s="652"/>
      <c r="K171" s="652"/>
      <c r="L171" s="657"/>
      <c r="M171" s="657"/>
      <c r="N171" s="657"/>
      <c r="O171" s="652"/>
      <c r="P171" s="652"/>
      <c r="Q171" s="652"/>
      <c r="R171" s="652"/>
      <c r="S171" s="652"/>
      <c r="T171" s="657"/>
      <c r="U171" s="657"/>
      <c r="V171" s="657"/>
      <c r="W171" s="652"/>
      <c r="X171" s="652"/>
      <c r="Y171" s="652"/>
      <c r="Z171" s="652"/>
      <c r="AA171" s="652"/>
      <c r="AB171" s="652"/>
      <c r="AC171" s="652"/>
      <c r="AD171" s="652"/>
      <c r="AE171" s="652"/>
      <c r="AF171" s="652"/>
      <c r="AG171" s="652"/>
      <c r="AH171" s="652"/>
      <c r="AI171" s="652"/>
      <c r="AJ171" s="652"/>
      <c r="AK171" s="652"/>
      <c r="AL171" s="652"/>
      <c r="AM171" s="652"/>
    </row>
    <row r="172" spans="1:39" hidden="1" x14ac:dyDescent="0.2">
      <c r="A172" s="652"/>
      <c r="B172" s="652"/>
      <c r="C172" s="652"/>
      <c r="D172" s="652"/>
      <c r="E172" s="652"/>
      <c r="F172" s="652"/>
      <c r="G172" s="652"/>
      <c r="H172" s="652"/>
      <c r="I172" s="652"/>
      <c r="J172" s="652"/>
      <c r="K172" s="652"/>
      <c r="L172" s="657"/>
      <c r="M172" s="657"/>
      <c r="N172" s="657"/>
      <c r="O172" s="652"/>
      <c r="P172" s="652"/>
      <c r="Q172" s="652"/>
      <c r="R172" s="652"/>
      <c r="S172" s="652"/>
      <c r="T172" s="657"/>
      <c r="U172" s="657"/>
      <c r="V172" s="657"/>
      <c r="W172" s="652"/>
      <c r="X172" s="652"/>
      <c r="Y172" s="652"/>
      <c r="Z172" s="652"/>
      <c r="AA172" s="652"/>
      <c r="AB172" s="652"/>
      <c r="AC172" s="652"/>
      <c r="AD172" s="652"/>
      <c r="AE172" s="652"/>
      <c r="AF172" s="652"/>
      <c r="AG172" s="652"/>
      <c r="AH172" s="652"/>
      <c r="AI172" s="652"/>
      <c r="AJ172" s="652"/>
      <c r="AK172" s="652"/>
      <c r="AL172" s="652"/>
      <c r="AM172" s="652"/>
    </row>
    <row r="173" spans="1:39" hidden="1" x14ac:dyDescent="0.2">
      <c r="A173" s="652"/>
      <c r="B173" s="652"/>
      <c r="C173" s="652"/>
      <c r="D173" s="652"/>
      <c r="E173" s="652"/>
      <c r="F173" s="652"/>
      <c r="G173" s="652"/>
      <c r="H173" s="652"/>
      <c r="I173" s="652"/>
      <c r="J173" s="652"/>
      <c r="K173" s="652"/>
      <c r="L173" s="657"/>
      <c r="M173" s="657"/>
      <c r="N173" s="657"/>
      <c r="O173" s="652"/>
      <c r="P173" s="652"/>
      <c r="Q173" s="652"/>
      <c r="R173" s="652"/>
      <c r="S173" s="652"/>
      <c r="T173" s="657"/>
      <c r="U173" s="657"/>
      <c r="V173" s="657"/>
      <c r="W173" s="652"/>
      <c r="X173" s="652"/>
      <c r="Y173" s="652"/>
      <c r="Z173" s="652"/>
      <c r="AA173" s="652"/>
      <c r="AB173" s="652"/>
      <c r="AC173" s="652"/>
      <c r="AD173" s="652"/>
      <c r="AE173" s="652"/>
      <c r="AF173" s="652"/>
      <c r="AG173" s="652"/>
      <c r="AH173" s="652"/>
      <c r="AI173" s="652"/>
      <c r="AJ173" s="652"/>
      <c r="AK173" s="652"/>
      <c r="AL173" s="652"/>
      <c r="AM173" s="652"/>
    </row>
    <row r="174" spans="1:39"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652"/>
      <c r="AF174" s="652"/>
      <c r="AG174" s="652"/>
      <c r="AH174" s="652"/>
      <c r="AI174" s="652"/>
      <c r="AJ174" s="652"/>
      <c r="AK174" s="652"/>
      <c r="AL174" s="652"/>
      <c r="AM174" s="652"/>
    </row>
    <row r="175" spans="1:39"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652"/>
      <c r="AF175" s="652"/>
      <c r="AG175" s="652"/>
      <c r="AH175" s="652"/>
      <c r="AI175" s="652"/>
      <c r="AJ175" s="652"/>
      <c r="AK175" s="652"/>
      <c r="AL175" s="652"/>
      <c r="AM175" s="652"/>
    </row>
    <row r="176" spans="1:39"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c r="AI284" s="652"/>
      <c r="AJ284" s="652"/>
      <c r="AK284" s="652"/>
      <c r="AL284" s="652"/>
      <c r="AM284" s="652"/>
    </row>
    <row r="285" spans="1:39"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c r="AH285" s="652"/>
      <c r="AI285" s="652"/>
      <c r="AJ285" s="652"/>
      <c r="AK285" s="652"/>
      <c r="AL285" s="652"/>
      <c r="AM285" s="652"/>
    </row>
    <row r="286" spans="1:39" hidden="1" x14ac:dyDescent="0.2">
      <c r="D286" s="698"/>
      <c r="E286" s="698"/>
      <c r="F286" s="652"/>
      <c r="G286" s="652"/>
      <c r="H286" s="652"/>
      <c r="I286" s="652"/>
      <c r="J286" s="652"/>
      <c r="K286" s="652"/>
      <c r="L286" s="652"/>
      <c r="M286" s="652"/>
      <c r="N286" s="652"/>
      <c r="O286" s="652"/>
      <c r="P286" s="652"/>
      <c r="Q286" s="652"/>
      <c r="R286" s="652"/>
      <c r="S286" s="652"/>
      <c r="T286" s="652"/>
      <c r="U286" s="652"/>
      <c r="V286" s="652"/>
      <c r="W286" s="652"/>
      <c r="X286" s="652"/>
      <c r="Y286" s="652"/>
      <c r="Z286" s="652"/>
      <c r="AA286" s="652"/>
      <c r="AB286" s="652"/>
      <c r="AC286" s="652"/>
      <c r="AD286" s="652"/>
      <c r="AE286" s="652"/>
      <c r="AF286" s="652"/>
      <c r="AG286" s="652"/>
      <c r="AH286" s="652"/>
      <c r="AI286" s="652"/>
      <c r="AJ286" s="652"/>
      <c r="AK286" s="652"/>
      <c r="AL286" s="652"/>
      <c r="AM286" s="652"/>
    </row>
    <row r="287" spans="1:39" hidden="1" x14ac:dyDescent="0.2">
      <c r="D287" s="702"/>
      <c r="E287" s="702"/>
      <c r="F287" s="652"/>
      <c r="G287" s="652"/>
      <c r="H287" s="652"/>
      <c r="I287" s="652"/>
      <c r="J287" s="652"/>
      <c r="K287" s="652"/>
      <c r="L287" s="652"/>
      <c r="M287" s="652"/>
      <c r="N287" s="652"/>
      <c r="O287" s="652"/>
      <c r="P287" s="652"/>
      <c r="Q287" s="652"/>
      <c r="R287" s="652"/>
      <c r="S287" s="652"/>
      <c r="T287" s="652"/>
      <c r="U287" s="652"/>
      <c r="V287" s="652"/>
      <c r="W287" s="652"/>
      <c r="X287" s="652"/>
      <c r="Y287" s="652"/>
      <c r="Z287" s="652"/>
      <c r="AA287" s="652"/>
      <c r="AB287" s="652"/>
      <c r="AC287" s="652"/>
      <c r="AD287" s="652"/>
      <c r="AE287" s="652"/>
      <c r="AF287" s="652"/>
      <c r="AG287" s="652"/>
      <c r="AH287" s="652"/>
      <c r="AI287" s="652"/>
      <c r="AJ287" s="652"/>
      <c r="AK287" s="652"/>
      <c r="AL287" s="652"/>
      <c r="AM287" s="652"/>
    </row>
    <row r="288" spans="1:39" hidden="1" x14ac:dyDescent="0.2">
      <c r="D288" s="653"/>
      <c r="E288" s="653"/>
      <c r="F288" s="652"/>
      <c r="G288" s="652"/>
      <c r="H288" s="652"/>
      <c r="I288" s="652"/>
      <c r="J288" s="652"/>
      <c r="K288" s="652"/>
      <c r="L288" s="652"/>
      <c r="M288" s="652"/>
      <c r="N288" s="652"/>
      <c r="O288" s="652"/>
      <c r="P288" s="652"/>
      <c r="Q288" s="652"/>
      <c r="R288" s="652"/>
      <c r="S288" s="652"/>
      <c r="T288" s="652"/>
      <c r="U288" s="652"/>
      <c r="V288" s="652"/>
      <c r="W288" s="703"/>
      <c r="X288" s="652"/>
      <c r="Y288" s="652"/>
      <c r="Z288" s="652"/>
      <c r="AA288" s="652"/>
      <c r="AB288" s="652"/>
      <c r="AC288" s="652"/>
      <c r="AD288" s="652"/>
      <c r="AE288" s="652"/>
      <c r="AF288" s="652"/>
      <c r="AG288" s="652"/>
      <c r="AH288" s="652"/>
      <c r="AI288" s="652"/>
      <c r="AJ288" s="652"/>
      <c r="AK288" s="652"/>
      <c r="AL288" s="652"/>
      <c r="AM288" s="652"/>
    </row>
    <row r="289" spans="1:39" hidden="1" x14ac:dyDescent="0.2">
      <c r="D289" s="653"/>
      <c r="E289" s="653"/>
      <c r="F289" s="652"/>
      <c r="G289" s="652"/>
      <c r="H289" s="652"/>
      <c r="I289" s="652"/>
      <c r="J289" s="652"/>
      <c r="K289" s="652"/>
      <c r="L289" s="652"/>
      <c r="M289" s="652"/>
      <c r="N289" s="652"/>
      <c r="O289" s="652"/>
      <c r="P289" s="652"/>
      <c r="Q289" s="652"/>
      <c r="R289" s="652"/>
      <c r="S289" s="652"/>
      <c r="T289" s="652"/>
      <c r="U289" s="652"/>
      <c r="V289" s="652"/>
      <c r="W289" s="652"/>
      <c r="X289" s="652"/>
      <c r="Y289" s="652"/>
      <c r="Z289" s="652"/>
      <c r="AA289" s="652"/>
      <c r="AB289" s="652"/>
      <c r="AC289" s="652"/>
      <c r="AD289" s="652"/>
      <c r="AE289" s="652"/>
      <c r="AF289" s="652"/>
      <c r="AG289" s="652"/>
      <c r="AH289" s="652"/>
      <c r="AI289" s="652"/>
      <c r="AJ289" s="652"/>
      <c r="AK289" s="652"/>
      <c r="AL289" s="652"/>
      <c r="AM289" s="652"/>
    </row>
    <row r="290" spans="1:39" hidden="1" x14ac:dyDescent="0.2">
      <c r="D290" s="653"/>
      <c r="E290" s="653"/>
      <c r="F290" s="65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c r="AI290" s="652"/>
      <c r="AJ290" s="652"/>
      <c r="AK290" s="652"/>
      <c r="AL290" s="652"/>
      <c r="AM290" s="652"/>
    </row>
    <row r="291" spans="1:39" hidden="1" x14ac:dyDescent="0.2">
      <c r="D291" s="653"/>
      <c r="E291" s="653"/>
      <c r="F291" s="652"/>
      <c r="G291" s="652"/>
      <c r="H291" s="652"/>
      <c r="I291" s="652"/>
      <c r="J291" s="652"/>
      <c r="K291" s="652"/>
      <c r="L291" s="652"/>
      <c r="M291" s="652"/>
      <c r="N291" s="652"/>
      <c r="O291" s="652"/>
      <c r="P291" s="652"/>
      <c r="Q291" s="652"/>
      <c r="R291" s="652"/>
      <c r="S291" s="652"/>
      <c r="T291" s="652"/>
      <c r="U291" s="652"/>
      <c r="V291" s="652"/>
      <c r="W291" s="652"/>
      <c r="X291" s="652"/>
      <c r="Y291" s="652"/>
      <c r="Z291" s="652"/>
      <c r="AA291" s="652"/>
      <c r="AB291" s="652"/>
      <c r="AC291" s="652"/>
      <c r="AD291" s="652"/>
      <c r="AE291" s="652"/>
      <c r="AF291" s="652"/>
      <c r="AG291" s="652"/>
      <c r="AH291" s="652"/>
      <c r="AI291" s="652"/>
      <c r="AJ291" s="652"/>
      <c r="AK291" s="652"/>
      <c r="AL291" s="652"/>
      <c r="AM291" s="652"/>
    </row>
    <row r="292" spans="1:39" hidden="1" x14ac:dyDescent="0.2">
      <c r="D292" s="653"/>
      <c r="E292" s="653"/>
      <c r="F292" s="65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652"/>
      <c r="AF292" s="652"/>
      <c r="AG292" s="652"/>
      <c r="AH292" s="652"/>
      <c r="AI292" s="652"/>
      <c r="AJ292" s="652"/>
      <c r="AK292" s="652"/>
      <c r="AL292" s="652"/>
      <c r="AM292" s="652"/>
    </row>
    <row r="293" spans="1:39" hidden="1" x14ac:dyDescent="0.2">
      <c r="D293" s="653"/>
      <c r="E293" s="653"/>
      <c r="F293" s="652"/>
      <c r="G293" s="652"/>
      <c r="H293" s="652"/>
      <c r="I293" s="652"/>
      <c r="J293" s="652"/>
      <c r="K293" s="652"/>
      <c r="L293" s="652"/>
      <c r="M293" s="652"/>
      <c r="N293" s="652"/>
      <c r="O293" s="652"/>
      <c r="P293" s="652"/>
      <c r="Q293" s="652"/>
      <c r="R293" s="652"/>
      <c r="S293" s="652"/>
      <c r="T293" s="652"/>
      <c r="U293" s="652"/>
      <c r="V293" s="652"/>
      <c r="W293" s="703"/>
      <c r="X293" s="652"/>
      <c r="Y293" s="652"/>
      <c r="Z293" s="652"/>
      <c r="AA293" s="652"/>
      <c r="AB293" s="652"/>
      <c r="AC293" s="652"/>
      <c r="AD293" s="652"/>
      <c r="AE293" s="652"/>
      <c r="AF293" s="652"/>
      <c r="AG293" s="652"/>
      <c r="AH293" s="652"/>
      <c r="AI293" s="652"/>
      <c r="AJ293" s="652"/>
      <c r="AK293" s="652"/>
      <c r="AL293" s="652"/>
      <c r="AM293" s="652"/>
    </row>
    <row r="294" spans="1:39" hidden="1" x14ac:dyDescent="0.2">
      <c r="D294" s="653"/>
      <c r="E294" s="653"/>
      <c r="F294" s="652"/>
      <c r="G294" s="652"/>
      <c r="H294" s="652"/>
      <c r="I294" s="652"/>
      <c r="J294" s="652"/>
      <c r="K294" s="652"/>
      <c r="L294" s="652"/>
      <c r="M294" s="652"/>
      <c r="N294" s="652"/>
      <c r="O294" s="652"/>
      <c r="P294" s="652"/>
      <c r="Q294" s="652"/>
      <c r="R294" s="652"/>
      <c r="S294" s="652"/>
      <c r="T294" s="652"/>
      <c r="U294" s="652"/>
      <c r="V294" s="652"/>
      <c r="W294" s="652"/>
      <c r="X294" s="652"/>
      <c r="Y294" s="652"/>
      <c r="Z294" s="652"/>
      <c r="AA294" s="652"/>
      <c r="AB294" s="652"/>
      <c r="AC294" s="652"/>
      <c r="AD294" s="652"/>
      <c r="AE294" s="652"/>
      <c r="AF294" s="652"/>
      <c r="AG294" s="652"/>
      <c r="AH294" s="652"/>
      <c r="AI294" s="652"/>
      <c r="AJ294" s="652"/>
      <c r="AK294" s="652"/>
      <c r="AL294" s="652"/>
      <c r="AM294" s="652"/>
    </row>
    <row r="295" spans="1:39" hidden="1" x14ac:dyDescent="0.2">
      <c r="D295" s="653"/>
      <c r="E295" s="653"/>
      <c r="F295" s="652"/>
      <c r="G295" s="652"/>
      <c r="H295" s="652"/>
      <c r="I295" s="65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652"/>
      <c r="AF295" s="652"/>
      <c r="AG295" s="652"/>
      <c r="AH295" s="652"/>
      <c r="AI295" s="652"/>
      <c r="AJ295" s="652"/>
      <c r="AK295" s="652"/>
      <c r="AL295" s="652"/>
      <c r="AM295" s="652"/>
    </row>
    <row r="296" spans="1:39" hidden="1" x14ac:dyDescent="0.2">
      <c r="D296" s="653"/>
      <c r="E296" s="653"/>
      <c r="F296" s="652"/>
      <c r="G296" s="652"/>
      <c r="H296" s="652"/>
      <c r="I296" s="652"/>
      <c r="J296" s="652"/>
      <c r="K296" s="652"/>
      <c r="L296" s="652"/>
      <c r="M296" s="652"/>
      <c r="N296" s="652"/>
      <c r="O296" s="652"/>
      <c r="P296" s="652"/>
      <c r="Q296" s="652"/>
      <c r="R296" s="652"/>
      <c r="S296" s="652"/>
      <c r="T296" s="652"/>
      <c r="U296" s="652"/>
      <c r="V296" s="652"/>
      <c r="W296" s="652"/>
      <c r="X296" s="652"/>
      <c r="Y296" s="652"/>
      <c r="Z296" s="652"/>
      <c r="AA296" s="652"/>
      <c r="AB296" s="652"/>
      <c r="AC296" s="652"/>
      <c r="AD296" s="652"/>
      <c r="AE296" s="652"/>
      <c r="AF296" s="652"/>
      <c r="AG296" s="652"/>
      <c r="AH296" s="652"/>
      <c r="AI296" s="652"/>
      <c r="AJ296" s="652"/>
      <c r="AK296" s="652"/>
      <c r="AL296" s="652"/>
      <c r="AM296" s="652"/>
    </row>
    <row r="297" spans="1:39" hidden="1" x14ac:dyDescent="0.2">
      <c r="D297" s="652"/>
      <c r="E297" s="652"/>
      <c r="F297" s="65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652"/>
      <c r="AF297" s="652"/>
      <c r="AG297" s="652"/>
      <c r="AH297" s="652"/>
      <c r="AI297" s="652"/>
      <c r="AJ297" s="652"/>
      <c r="AK297" s="652"/>
      <c r="AL297" s="652"/>
      <c r="AM297" s="652"/>
    </row>
    <row r="299" spans="1:39" x14ac:dyDescent="0.2">
      <c r="A299" s="652"/>
      <c r="B299" s="652"/>
      <c r="C299" s="697" t="s">
        <v>182</v>
      </c>
    </row>
    <row r="300" spans="1:39" x14ac:dyDescent="0.2">
      <c r="A300" s="699">
        <v>1</v>
      </c>
      <c r="B300" s="700" t="str">
        <f t="shared" ref="B300:B310" si="10">IFERROR(INDEX(B$1:B$87,MATCH(A300,A$1:A$87,0)),"")</f>
        <v>Ivar Viljaste, Matti Vinni</v>
      </c>
      <c r="C300" s="711">
        <v>40</v>
      </c>
    </row>
    <row r="301" spans="1:39" x14ac:dyDescent="0.2">
      <c r="A301" s="699">
        <v>2</v>
      </c>
      <c r="B301" s="700" t="str">
        <f t="shared" si="10"/>
        <v>Elmo Lageda, Tõnu Piik</v>
      </c>
      <c r="C301" s="711">
        <v>34</v>
      </c>
    </row>
    <row r="302" spans="1:39" x14ac:dyDescent="0.2">
      <c r="A302" s="699">
        <v>3</v>
      </c>
      <c r="B302" s="700" t="str">
        <f t="shared" si="10"/>
        <v>Jaan Sepp, Oskar Sepp</v>
      </c>
      <c r="C302" s="711">
        <v>30</v>
      </c>
    </row>
    <row r="303" spans="1:39" x14ac:dyDescent="0.2">
      <c r="A303" s="699">
        <v>4</v>
      </c>
      <c r="B303" s="700" t="str">
        <f t="shared" si="10"/>
        <v>Kenneth Muusikus, Mait Metsla</v>
      </c>
      <c r="C303" s="711">
        <v>26</v>
      </c>
    </row>
    <row r="304" spans="1:39" x14ac:dyDescent="0.2">
      <c r="A304" s="699">
        <v>5</v>
      </c>
      <c r="B304" s="700" t="str">
        <f t="shared" si="10"/>
        <v>Andres Veski, Meelis Luud</v>
      </c>
      <c r="C304" s="711">
        <v>24</v>
      </c>
    </row>
    <row r="305" spans="1:3" x14ac:dyDescent="0.2">
      <c r="A305" s="699">
        <v>6</v>
      </c>
      <c r="B305" s="700" t="str">
        <f t="shared" si="10"/>
        <v>Henri Mitt, Urmas Randlaine</v>
      </c>
      <c r="C305" s="711">
        <v>22</v>
      </c>
    </row>
    <row r="306" spans="1:3" x14ac:dyDescent="0.2">
      <c r="A306" s="699">
        <v>7</v>
      </c>
      <c r="B306" s="700" t="str">
        <f t="shared" si="10"/>
        <v>Tõnu Kapper, Vladimir Ogneštšikov</v>
      </c>
      <c r="C306" s="711">
        <v>20</v>
      </c>
    </row>
    <row r="307" spans="1:3" x14ac:dyDescent="0.2">
      <c r="A307" s="699">
        <v>8</v>
      </c>
      <c r="B307" s="700" t="str">
        <f t="shared" si="10"/>
        <v>Andrei Grintšak, Oleg Rõndenkov</v>
      </c>
      <c r="C307" s="711">
        <v>18</v>
      </c>
    </row>
    <row r="308" spans="1:3" x14ac:dyDescent="0.2">
      <c r="A308" s="699">
        <v>9</v>
      </c>
      <c r="B308" s="700" t="str">
        <f t="shared" si="10"/>
        <v>Aigi Orro, Kalle Orro</v>
      </c>
      <c r="C308" s="711">
        <v>16</v>
      </c>
    </row>
    <row r="309" spans="1:3" x14ac:dyDescent="0.2">
      <c r="A309" s="699">
        <v>10</v>
      </c>
      <c r="B309" s="700" t="str">
        <f t="shared" si="10"/>
        <v>Liidia Põllu, Vladimir Mihhailov</v>
      </c>
      <c r="C309" s="701">
        <v>14</v>
      </c>
    </row>
    <row r="310" spans="1:3" x14ac:dyDescent="0.2">
      <c r="A310" s="699">
        <v>11</v>
      </c>
      <c r="B310" s="700" t="str">
        <f t="shared" si="10"/>
        <v>Illar Tõnurist, Tarmo Bombe</v>
      </c>
      <c r="C310" s="701">
        <v>12</v>
      </c>
    </row>
  </sheetData>
  <conditionalFormatting sqref="C8:C18">
    <cfRule type="expression" dxfId="878" priority="17">
      <formula>IF($C8&gt;$E8,TRUE)</formula>
    </cfRule>
  </conditionalFormatting>
  <conditionalFormatting sqref="E8:E18">
    <cfRule type="expression" dxfId="877" priority="18">
      <formula>IF($C8&lt;$E8,TRUE)</formula>
    </cfRule>
  </conditionalFormatting>
  <conditionalFormatting sqref="K8:K18">
    <cfRule type="expression" dxfId="876" priority="25">
      <formula>IF($K8&gt;$M8,TRUE)</formula>
    </cfRule>
  </conditionalFormatting>
  <conditionalFormatting sqref="M8:M18">
    <cfRule type="expression" dxfId="875" priority="26">
      <formula>IF($K8&lt;$M8,TRUE)</formula>
    </cfRule>
  </conditionalFormatting>
  <conditionalFormatting sqref="O8:O18">
    <cfRule type="expression" dxfId="874" priority="29">
      <formula>IF($O8&gt;$Q8,TRUE)</formula>
    </cfRule>
  </conditionalFormatting>
  <conditionalFormatting sqref="Q8:Q18">
    <cfRule type="expression" dxfId="873" priority="30">
      <formula>IF($O8&lt;$Q8,TRUE)</formula>
    </cfRule>
  </conditionalFormatting>
  <conditionalFormatting sqref="S8:S18">
    <cfRule type="expression" dxfId="872" priority="33">
      <formula>IF($S8&gt;$U8,TRUE)</formula>
    </cfRule>
  </conditionalFormatting>
  <conditionalFormatting sqref="U8:U18">
    <cfRule type="expression" dxfId="871" priority="34">
      <formula>IF($S8&lt;$U8,TRUE)</formula>
    </cfRule>
  </conditionalFormatting>
  <conditionalFormatting sqref="G8:G18">
    <cfRule type="expression" dxfId="870" priority="21">
      <formula>IF($G8&gt;$I8,TRUE)</formula>
    </cfRule>
  </conditionalFormatting>
  <conditionalFormatting sqref="I8:I18">
    <cfRule type="expression" dxfId="869" priority="22">
      <formula>IF($G8&lt;$I8,TRUE)</formula>
    </cfRule>
  </conditionalFormatting>
  <conditionalFormatting sqref="F8:F18">
    <cfRule type="containsText" dxfId="868" priority="8" operator="containsText" text="vaba voor">
      <formula>NOT(ISERROR(SEARCH("vaba voor",F8)))</formula>
    </cfRule>
  </conditionalFormatting>
  <conditionalFormatting sqref="N8:N18">
    <cfRule type="containsText" dxfId="867" priority="6" operator="containsText" text="vaba voor">
      <formula>NOT(ISERROR(SEARCH("vaba voor",N8)))</formula>
    </cfRule>
  </conditionalFormatting>
  <conditionalFormatting sqref="R8:R18">
    <cfRule type="containsText" dxfId="866" priority="9" operator="containsText" text="vaba voor">
      <formula>NOT(ISERROR(SEARCH("vaba voor",R8)))</formula>
    </cfRule>
  </conditionalFormatting>
  <conditionalFormatting sqref="V8:V18">
    <cfRule type="containsText" dxfId="865" priority="5" operator="containsText" text="vaba voor">
      <formula>NOT(ISERROR(SEARCH("vaba voor",V8)))</formula>
    </cfRule>
  </conditionalFormatting>
  <conditionalFormatting sqref="J8:J18">
    <cfRule type="containsText" dxfId="864" priority="7" operator="containsText" text="vaba voor">
      <formula>NOT(ISERROR(SEARCH("vaba voor",J8)))</formula>
    </cfRule>
  </conditionalFormatting>
  <conditionalFormatting sqref="C8:F18">
    <cfRule type="expression" dxfId="863" priority="13">
      <formula>IF(AND(ISNUMBER($C8),$C8=$E8),TRUE)</formula>
    </cfRule>
    <cfRule type="expression" dxfId="862" priority="15">
      <formula>IF($C8&gt;$E8,TRUE)</formula>
    </cfRule>
    <cfRule type="expression" dxfId="861" priority="16">
      <formula>IF($C8&lt;$E8,TRUE)</formula>
    </cfRule>
  </conditionalFormatting>
  <conditionalFormatting sqref="G8:J18">
    <cfRule type="expression" dxfId="860" priority="14">
      <formula>IF(AND(ISNUMBER($G8),$G8=$I8),TRUE)</formula>
    </cfRule>
    <cfRule type="expression" dxfId="859" priority="19">
      <formula>IF($G8&gt;$I8,TRUE)</formula>
    </cfRule>
    <cfRule type="expression" dxfId="858" priority="20">
      <formula>IF($G8&lt;$I8,TRUE)</formula>
    </cfRule>
  </conditionalFormatting>
  <conditionalFormatting sqref="K8:N18">
    <cfRule type="expression" dxfId="857" priority="12">
      <formula>IF(AND(ISNUMBER($K8),$K8=$M8),TRUE)</formula>
    </cfRule>
    <cfRule type="expression" dxfId="856" priority="23">
      <formula>IF($K8&gt;$M8,TRUE)</formula>
    </cfRule>
    <cfRule type="expression" dxfId="855" priority="24">
      <formula>IF($K8&lt;$M8,TRUE)</formula>
    </cfRule>
  </conditionalFormatting>
  <conditionalFormatting sqref="O8:R18">
    <cfRule type="expression" dxfId="854" priority="11">
      <formula>IF(AND(ISNUMBER($O8),$O8=$Q8),TRUE)</formula>
    </cfRule>
    <cfRule type="expression" dxfId="853" priority="27">
      <formula>IF($O8&gt;$Q8,TRUE)</formula>
    </cfRule>
    <cfRule type="expression" dxfId="852" priority="28">
      <formula>IF($O8&lt;$Q8,TRUE)</formula>
    </cfRule>
  </conditionalFormatting>
  <conditionalFormatting sqref="S8:V18">
    <cfRule type="expression" dxfId="851" priority="10">
      <formula>IF(AND(ISNUMBER($S8),$S8=$U8),TRUE)</formula>
    </cfRule>
    <cfRule type="expression" dxfId="850" priority="31">
      <formula>IF($S8&gt;$U8,TRUE)</formula>
    </cfRule>
    <cfRule type="expression" dxfId="849" priority="32">
      <formula>IF($S8&lt;$U8,TRUE)</formula>
    </cfRule>
  </conditionalFormatting>
  <conditionalFormatting sqref="C8:C18 G8:G18 K8:K18 O8:O18 S8:S18">
    <cfRule type="expression" dxfId="848" priority="4">
      <formula>AND(C8=0,E8=13)</formula>
    </cfRule>
  </conditionalFormatting>
  <conditionalFormatting sqref="AF8:AF18 AJ8:AJ18 AL8:AL18">
    <cfRule type="expression" dxfId="847" priority="1">
      <formula>AND(AE8="",COUNTIF(AF8,"*,*")=0)</formula>
    </cfRule>
  </conditionalFormatting>
  <conditionalFormatting sqref="AH8:AH18">
    <cfRule type="expression" dxfId="846" priority="2">
      <formula>AND(AG8="",FIND(",",AH8))</formula>
    </cfRule>
    <cfRule type="expression" dxfId="845" priority="3">
      <formula>AND(AG8="",COUNTIF(AH8,"*,*")=0)</formula>
    </cfRule>
  </conditionalFormatting>
  <conditionalFormatting sqref="A8:A18">
    <cfRule type="duplicateValues" dxfId="844" priority="457"/>
  </conditionalFormatting>
  <conditionalFormatting sqref="A300:A310">
    <cfRule type="duplicateValues" dxfId="843" priority="458"/>
  </conditionalFormatting>
  <conditionalFormatting sqref="B300:B310">
    <cfRule type="expression" dxfId="842" priority="464">
      <formula>A300=3</formula>
    </cfRule>
    <cfRule type="expression" dxfId="841" priority="465">
      <formula>A300=2</formula>
    </cfRule>
    <cfRule type="expression" dxfId="840" priority="466">
      <formula>A300=1</formula>
    </cfRule>
    <cfRule type="containsBlanks" dxfId="839" priority="467">
      <formula>LEN(TRIM(B300))=0</formula>
    </cfRule>
    <cfRule type="duplicateValues" dxfId="838" priority="468"/>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N310"/>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40.28515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0" width="9.140625" hidden="1" customWidth="1"/>
    <col min="31" max="31" width="15.7109375" hidden="1" customWidth="1"/>
    <col min="32" max="32" width="12.7109375" hidden="1" customWidth="1"/>
    <col min="33" max="33" width="18.28515625" hidden="1" customWidth="1"/>
    <col min="34" max="34" width="13.85546875" hidden="1" customWidth="1"/>
    <col min="35" max="35" width="18.7109375" hidden="1" customWidth="1"/>
    <col min="36" max="37" width="17.28515625" hidden="1" customWidth="1"/>
    <col min="38" max="39" width="13.85546875" hidden="1" customWidth="1"/>
    <col min="40" max="40" width="9.140625" hidden="1" customWidth="1"/>
  </cols>
  <sheetData>
    <row r="1" spans="1:40" x14ac:dyDescent="0.2">
      <c r="A1" s="742" t="str">
        <f>UPPER((Kalend!E31)&amp;" - "&amp;(Kalend!C31)&amp;" - "&amp;(Kalend!D31))</f>
        <v>9 - IDA-VIRUMAA MV - TRIO</v>
      </c>
      <c r="B1" s="652"/>
      <c r="C1" s="653"/>
      <c r="D1" s="652"/>
      <c r="E1" s="652"/>
      <c r="F1" s="410" t="str">
        <f>HYPERLINK("#Kalend!I1","Kalender")</f>
        <v>Kalender</v>
      </c>
      <c r="G1" s="410"/>
      <c r="H1" s="410"/>
      <c r="I1" s="410"/>
      <c r="J1" s="654" t="str">
        <f>HYPERLINK("#Reit!r1","Reiting")</f>
        <v>Reiting</v>
      </c>
      <c r="K1" s="655"/>
      <c r="L1" s="656"/>
      <c r="M1" s="657"/>
      <c r="N1" s="657"/>
      <c r="O1" s="652"/>
      <c r="P1" s="652"/>
      <c r="Q1" s="655"/>
      <c r="R1" s="655"/>
      <c r="S1" s="655"/>
      <c r="T1" s="656"/>
      <c r="U1" s="656"/>
      <c r="V1" s="656"/>
      <c r="W1" s="652"/>
      <c r="X1" s="658"/>
      <c r="Y1" s="652"/>
      <c r="Z1" s="652"/>
      <c r="AA1" s="652"/>
      <c r="AB1" s="652"/>
      <c r="AD1" s="417" t="s">
        <v>181</v>
      </c>
      <c r="AE1" s="822"/>
      <c r="AF1" s="822"/>
      <c r="AG1" s="822"/>
      <c r="AH1" s="822"/>
      <c r="AI1" s="822"/>
      <c r="AJ1" s="822"/>
      <c r="AK1" s="822"/>
      <c r="AL1" s="822"/>
      <c r="AM1" s="822"/>
      <c r="AN1" s="822"/>
    </row>
    <row r="2" spans="1:40" x14ac:dyDescent="0.2">
      <c r="A2" s="659" t="str">
        <f>"Toimumisaeg: "&amp;(Kalend!A31)&amp;" kell "&amp;(Kalend!B31)</f>
        <v>Toimumisaeg: P, 28.07.2019 kell 11:00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52"/>
      <c r="AB2" s="652"/>
      <c r="AD2" s="659"/>
      <c r="AE2" s="659"/>
      <c r="AF2" s="659"/>
      <c r="AG2" s="659"/>
      <c r="AH2" s="659"/>
      <c r="AI2" s="889"/>
      <c r="AJ2" s="659"/>
      <c r="AK2" s="659"/>
      <c r="AL2" s="659"/>
      <c r="AM2" s="659"/>
      <c r="AN2" s="659"/>
    </row>
    <row r="3" spans="1:40" x14ac:dyDescent="0.2">
      <c r="A3" s="659" t="str">
        <f>"Toimumiskoht: "&amp;(Kalend!F31)</f>
        <v>Toimumiskoht: Jõhvi, Neptun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823" t="s">
        <v>362</v>
      </c>
      <c r="AF3" s="659"/>
      <c r="AG3" s="659"/>
      <c r="AH3" s="659"/>
      <c r="AI3" s="659"/>
      <c r="AJ3" s="659"/>
      <c r="AK3" s="659"/>
      <c r="AL3" s="659"/>
      <c r="AM3" s="659"/>
      <c r="AN3" s="659"/>
    </row>
    <row r="4" spans="1:40" x14ac:dyDescent="0.2">
      <c r="A4" s="659" t="str">
        <f>"Korraldaja: "&amp;(Kalend!G31)</f>
        <v>Korraldaja: Ivar Viljaste</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824" t="s">
        <v>19</v>
      </c>
      <c r="AE4" s="825"/>
      <c r="AF4" s="825"/>
      <c r="AG4" s="825"/>
      <c r="AH4" s="825"/>
      <c r="AI4" s="825"/>
      <c r="AJ4" s="825"/>
      <c r="AK4" s="825"/>
      <c r="AL4" s="825"/>
      <c r="AM4" s="825"/>
      <c r="AN4" s="825"/>
    </row>
    <row r="5" spans="1:40"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824" t="s">
        <v>364</v>
      </c>
      <c r="AE5" s="826" t="s">
        <v>365</v>
      </c>
      <c r="AF5" s="826"/>
      <c r="AG5" s="826" t="s">
        <v>367</v>
      </c>
      <c r="AH5" s="826"/>
      <c r="AI5" s="826" t="s">
        <v>368</v>
      </c>
      <c r="AJ5" s="676"/>
      <c r="AK5" s="676" t="s">
        <v>515</v>
      </c>
      <c r="AL5" s="676"/>
      <c r="AM5" s="676" t="s">
        <v>516</v>
      </c>
      <c r="AN5" s="890"/>
    </row>
    <row r="6" spans="1:40"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824" t="s">
        <v>376</v>
      </c>
      <c r="AE6" s="825"/>
      <c r="AF6" s="825"/>
      <c r="AG6" s="684"/>
      <c r="AH6" s="684"/>
      <c r="AI6" s="684"/>
      <c r="AJ6" s="684"/>
      <c r="AK6" s="684"/>
      <c r="AL6" s="684"/>
      <c r="AM6" s="684"/>
      <c r="AN6" s="684"/>
    </row>
    <row r="7" spans="1:40"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row>
    <row r="8" spans="1:40" x14ac:dyDescent="0.2">
      <c r="A8" s="685">
        <v>1</v>
      </c>
      <c r="B8" s="686" t="s">
        <v>492</v>
      </c>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676">
        <f t="shared" ref="AD8" ca="1" si="0">SUM(AF8:AN8)</f>
        <v>868</v>
      </c>
      <c r="AE8" s="829" t="str">
        <f t="shared" ref="AE8:AE18" si="1">IFERROR(LEFT($B8,(FIND(",",$B8,1)-1)),"")</f>
        <v>Jaan Sepp</v>
      </c>
      <c r="AF8" s="830">
        <f ca="1">IFERROR(INDEX(Reit!$I:$I,MATCH(AE8,Reit!$F:$F,0)),"")</f>
        <v>310</v>
      </c>
      <c r="AG8" s="829" t="str">
        <f t="shared" ref="AG8:AG18" si="2">IFERROR(MID($B8,FIND("^",SUBSTITUTE($B8,", ","^",1))+2,FIND("^",SUBSTITUTE($B8,", ","^",2))-FIND("^",SUBSTITUTE($B8,", ","^",1))-2),"")</f>
        <v>Mait Metsla</v>
      </c>
      <c r="AH8" s="830">
        <f ca="1">IFERROR(INDEX(Reit!$I:$I,MATCH(AG8,Reit!$F:$F,0)),"")</f>
        <v>228</v>
      </c>
      <c r="AI8" s="829" t="str">
        <f t="shared" ref="AI8:AI18" si="3">IFERROR(MID($B8,FIND(", ",$B8,FIND(", ",$B8,FIND(", ",$B8))+1)+2,30000),"")</f>
        <v>Oskar Sepp</v>
      </c>
      <c r="AJ8" s="830">
        <f ca="1">IFERROR(INDEX(Reit!$I:$I,MATCH(AI8,Reit!$F:$F,0)),"")</f>
        <v>330</v>
      </c>
      <c r="AK8" s="891" t="str">
        <f t="shared" ref="AK8:AK18" si="4">IFERROR(MID($B8,FIND(", ",$B8,FIND(", ",$B8)+1)+2,FIND(", ",$B8,FIND(", ",$B8,FIND(", ",$B8)+1)+1)-FIND(", ",$B8,FIND(", ",$B8)+1)-2),"")</f>
        <v/>
      </c>
      <c r="AL8" s="830" t="str">
        <f>IFERROR(INDEX(Reit!$I:$I,MATCH(AK8,Reit!$F:$F,0)),"")</f>
        <v/>
      </c>
      <c r="AM8" s="829" t="str">
        <f t="shared" ref="AM8:AM18" si="5">IFERROR(MID($B8,FIND(", ",$B8,FIND(", ",$B8,FIND(", ",$B8)+1)+1)+2,30000),"")</f>
        <v/>
      </c>
      <c r="AN8" s="830" t="str">
        <f>IFERROR(INDEX(Reit!$I:$I,MATCH(AM8,Reit!$F:$F,0)),"")</f>
        <v/>
      </c>
    </row>
    <row r="9" spans="1:40" x14ac:dyDescent="0.2">
      <c r="A9" s="685">
        <v>2</v>
      </c>
      <c r="B9" s="686" t="s">
        <v>491</v>
      </c>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18" si="6">IF(C9&gt;E9,J$3,IF(C9&lt;E9,J$5,IF(ISNUMBER(C9),J$4,0)))+IF(G9&gt;I9,J$3,IF(G9&lt;I9,J$5,IF(ISNUMBER(G9),J$4,0)))+IF(K9&gt;M9,J$3,IF(K9&lt;M9,J$5,IF(ISNUMBER(K9),J$4,0)))+IF(O9&gt;Q9,J$3,IF(O9&lt;Q9,J$5,IF(ISNUMBER(O9),J$4,0)))+IF(S9&gt;U9,J$3,IF(S9&lt;U9,J$5,IF(ISNUMBER(S9),J$4,0)))</f>
        <v>0</v>
      </c>
      <c r="X9" s="692"/>
      <c r="Y9" s="687">
        <f t="shared" ref="Y9:Y18" si="7">C9+G9+K9+O9+S9</f>
        <v>0</v>
      </c>
      <c r="Z9" s="688" t="s">
        <v>377</v>
      </c>
      <c r="AA9" s="693">
        <f t="shared" ref="AA9:AA18" si="8">E9+I9+M9+Q9+U9</f>
        <v>0</v>
      </c>
      <c r="AB9" s="694">
        <f t="shared" ref="AB9:AB18" si="9">Y9-AA9</f>
        <v>0</v>
      </c>
      <c r="AC9" s="695"/>
      <c r="AD9" s="676">
        <f t="shared" ref="AD9:AD18" ca="1" si="10">SUM(AF9:AN9)</f>
        <v>484</v>
      </c>
      <c r="AE9" s="829" t="str">
        <f t="shared" si="1"/>
        <v>Aarne Välja</v>
      </c>
      <c r="AF9" s="830">
        <f ca="1">IFERROR(INDEX(Reit!$I:$I,MATCH(AE9,Reit!$F:$F,0)),"")</f>
        <v>196</v>
      </c>
      <c r="AG9" s="829" t="str">
        <f t="shared" si="2"/>
        <v>Janek Tarto</v>
      </c>
      <c r="AH9" s="830">
        <f ca="1">IFERROR(INDEX(Reit!$I:$I,MATCH(AG9,Reit!$F:$F,0)),"")</f>
        <v>224</v>
      </c>
      <c r="AI9" s="829" t="str">
        <f t="shared" si="3"/>
        <v>Romek Tarto</v>
      </c>
      <c r="AJ9" s="830">
        <f ca="1">IFERROR(INDEX(Reit!$I:$I,MATCH(AI9,Reit!$F:$F,0)),"")</f>
        <v>64</v>
      </c>
      <c r="AK9" s="891" t="str">
        <f t="shared" si="4"/>
        <v/>
      </c>
      <c r="AL9" s="830" t="str">
        <f>IFERROR(INDEX(Reit!$I:$I,MATCH(AK9,Reit!$F:$F,0)),"")</f>
        <v/>
      </c>
      <c r="AM9" s="829" t="str">
        <f t="shared" si="5"/>
        <v/>
      </c>
      <c r="AN9" s="830" t="str">
        <f>IFERROR(INDEX(Reit!$I:$I,MATCH(AM9,Reit!$F:$F,0)),"")</f>
        <v/>
      </c>
    </row>
    <row r="10" spans="1:40" x14ac:dyDescent="0.2">
      <c r="A10" s="685">
        <v>3</v>
      </c>
      <c r="B10" s="686" t="s">
        <v>558</v>
      </c>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6"/>
        <v>0</v>
      </c>
      <c r="X10" s="692"/>
      <c r="Y10" s="687">
        <f t="shared" si="7"/>
        <v>0</v>
      </c>
      <c r="Z10" s="688" t="s">
        <v>377</v>
      </c>
      <c r="AA10" s="693">
        <f t="shared" si="8"/>
        <v>0</v>
      </c>
      <c r="AB10" s="694">
        <f t="shared" si="9"/>
        <v>0</v>
      </c>
      <c r="AC10" s="695"/>
      <c r="AD10" s="676">
        <f t="shared" ca="1" si="10"/>
        <v>778</v>
      </c>
      <c r="AE10" s="829" t="str">
        <f t="shared" si="1"/>
        <v>Ivar Viljaste</v>
      </c>
      <c r="AF10" s="830">
        <f ca="1">IFERROR(INDEX(Reit!$I:$I,MATCH(AE10,Reit!$F:$F,0)),"")</f>
        <v>364</v>
      </c>
      <c r="AG10" s="829" t="str">
        <f t="shared" si="2"/>
        <v>Kristo Viljaste</v>
      </c>
      <c r="AH10" s="830">
        <f ca="1">IFERROR(INDEX(Reit!$I:$I,MATCH(AG10,Reit!$F:$F,0)),"")</f>
        <v>120</v>
      </c>
      <c r="AI10" s="829" t="str">
        <f t="shared" si="3"/>
        <v>Matti Vinni</v>
      </c>
      <c r="AJ10" s="830">
        <f ca="1">IFERROR(INDEX(Reit!$I:$I,MATCH(AI10,Reit!$F:$F,0)),"")</f>
        <v>294</v>
      </c>
      <c r="AK10" s="891" t="str">
        <f t="shared" si="4"/>
        <v/>
      </c>
      <c r="AL10" s="830" t="str">
        <f>IFERROR(INDEX(Reit!$I:$I,MATCH(AK10,Reit!$F:$F,0)),"")</f>
        <v/>
      </c>
      <c r="AM10" s="829" t="str">
        <f t="shared" si="5"/>
        <v/>
      </c>
      <c r="AN10" s="830" t="str">
        <f>IFERROR(INDEX(Reit!$I:$I,MATCH(AM10,Reit!$F:$F,0)),"")</f>
        <v/>
      </c>
    </row>
    <row r="11" spans="1:40" x14ac:dyDescent="0.2">
      <c r="A11" s="685">
        <v>4</v>
      </c>
      <c r="B11" s="686" t="s">
        <v>559</v>
      </c>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6"/>
        <v>0</v>
      </c>
      <c r="X11" s="692"/>
      <c r="Y11" s="687">
        <f t="shared" si="7"/>
        <v>0</v>
      </c>
      <c r="Z11" s="688" t="s">
        <v>377</v>
      </c>
      <c r="AA11" s="693">
        <f t="shared" si="8"/>
        <v>0</v>
      </c>
      <c r="AB11" s="694">
        <f t="shared" si="9"/>
        <v>0</v>
      </c>
      <c r="AC11" s="695"/>
      <c r="AD11" s="676">
        <f t="shared" ca="1" si="10"/>
        <v>261</v>
      </c>
      <c r="AE11" s="829" t="str">
        <f t="shared" si="1"/>
        <v>Argo Sepp</v>
      </c>
      <c r="AF11" s="830">
        <f ca="1">IFERROR(INDEX(Reit!$I:$I,MATCH(AE11,Reit!$F:$F,0)),"")</f>
        <v>132</v>
      </c>
      <c r="AG11" s="829" t="str">
        <f t="shared" si="2"/>
        <v>Karla Purgats</v>
      </c>
      <c r="AH11" s="830">
        <f ca="1">IFERROR(INDEX(Reit!$I:$I,MATCH(AG11,Reit!$F:$F,0)),"")</f>
        <v>74</v>
      </c>
      <c r="AI11" s="829" t="str">
        <f t="shared" si="3"/>
        <v>Lemmit Toomra</v>
      </c>
      <c r="AJ11" s="830">
        <f ca="1">IFERROR(INDEX(Reit!$I:$I,MATCH(AI11,Reit!$F:$F,0)),"")</f>
        <v>55</v>
      </c>
      <c r="AK11" s="891" t="str">
        <f t="shared" si="4"/>
        <v/>
      </c>
      <c r="AL11" s="830" t="str">
        <f>IFERROR(INDEX(Reit!$I:$I,MATCH(AK11,Reit!$F:$F,0)),"")</f>
        <v/>
      </c>
      <c r="AM11" s="829" t="str">
        <f t="shared" si="5"/>
        <v/>
      </c>
      <c r="AN11" s="830" t="str">
        <f>IFERROR(INDEX(Reit!$I:$I,MATCH(AM11,Reit!$F:$F,0)),"")</f>
        <v/>
      </c>
    </row>
    <row r="12" spans="1:40" x14ac:dyDescent="0.2">
      <c r="A12" s="685">
        <v>5</v>
      </c>
      <c r="B12" s="686" t="s">
        <v>560</v>
      </c>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6"/>
        <v>0</v>
      </c>
      <c r="X12" s="692"/>
      <c r="Y12" s="687">
        <f t="shared" si="7"/>
        <v>0</v>
      </c>
      <c r="Z12" s="688" t="s">
        <v>377</v>
      </c>
      <c r="AA12" s="693">
        <f t="shared" si="8"/>
        <v>0</v>
      </c>
      <c r="AB12" s="694">
        <f t="shared" si="9"/>
        <v>0</v>
      </c>
      <c r="AC12" s="695"/>
      <c r="AD12" s="676">
        <f t="shared" ca="1" si="10"/>
        <v>140</v>
      </c>
      <c r="AE12" s="829" t="str">
        <f t="shared" si="1"/>
        <v>Tõnis Anton</v>
      </c>
      <c r="AF12" s="830">
        <f ca="1">IFERROR(INDEX(Reit!$I:$I,MATCH(AE12,Reit!$F:$F,0)),"")</f>
        <v>68</v>
      </c>
      <c r="AG12" s="829" t="str">
        <f t="shared" si="2"/>
        <v>Vadim Tihhonjuk</v>
      </c>
      <c r="AH12" s="830">
        <f ca="1">IFERROR(INDEX(Reit!$I:$I,MATCH(AG12,Reit!$F:$F,0)),"")</f>
        <v>24</v>
      </c>
      <c r="AI12" s="829" t="str">
        <f t="shared" si="3"/>
        <v>Viktor Fjodorov</v>
      </c>
      <c r="AJ12" s="830">
        <f ca="1">IFERROR(INDEX(Reit!$I:$I,MATCH(AI12,Reit!$F:$F,0)),"")</f>
        <v>48</v>
      </c>
      <c r="AK12" s="891" t="str">
        <f t="shared" si="4"/>
        <v/>
      </c>
      <c r="AL12" s="830" t="str">
        <f>IFERROR(INDEX(Reit!$I:$I,MATCH(AK12,Reit!$F:$F,0)),"")</f>
        <v/>
      </c>
      <c r="AM12" s="829" t="str">
        <f t="shared" si="5"/>
        <v/>
      </c>
      <c r="AN12" s="830" t="str">
        <f>IFERROR(INDEX(Reit!$I:$I,MATCH(AM12,Reit!$F:$F,0)),"")</f>
        <v/>
      </c>
    </row>
    <row r="13" spans="1:40" ht="25.5" x14ac:dyDescent="0.2">
      <c r="A13" s="685">
        <v>6</v>
      </c>
      <c r="B13" s="686" t="s">
        <v>561</v>
      </c>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6"/>
        <v>0</v>
      </c>
      <c r="X13" s="692"/>
      <c r="Y13" s="687">
        <f t="shared" si="7"/>
        <v>0</v>
      </c>
      <c r="Z13" s="688" t="s">
        <v>377</v>
      </c>
      <c r="AA13" s="693">
        <f t="shared" si="8"/>
        <v>0</v>
      </c>
      <c r="AB13" s="694">
        <f t="shared" si="9"/>
        <v>0</v>
      </c>
      <c r="AC13" s="695"/>
      <c r="AD13" s="676">
        <f t="shared" ca="1" si="10"/>
        <v>439</v>
      </c>
      <c r="AE13" s="829" t="str">
        <f t="shared" si="1"/>
        <v>Johannes Neiland</v>
      </c>
      <c r="AF13" s="830">
        <f ca="1">IFERROR(INDEX(Reit!$I:$I,MATCH(AE13,Reit!$F:$F,0)),"")</f>
        <v>86</v>
      </c>
      <c r="AG13" s="829" t="str">
        <f t="shared" si="2"/>
        <v>Kenneth Muusikus</v>
      </c>
      <c r="AH13" s="830">
        <f ca="1">IFERROR(INDEX(Reit!$I:$I,MATCH(AG13,Reit!$F:$F,0)),"")</f>
        <v>258</v>
      </c>
      <c r="AI13" s="829" t="str">
        <f t="shared" si="3"/>
        <v>Urmas Randlaine</v>
      </c>
      <c r="AJ13" s="830">
        <f ca="1">IFERROR(INDEX(Reit!$I:$I,MATCH(AI13,Reit!$F:$F,0)),"")</f>
        <v>95</v>
      </c>
      <c r="AK13" s="891" t="str">
        <f t="shared" si="4"/>
        <v/>
      </c>
      <c r="AL13" s="830" t="str">
        <f>IFERROR(INDEX(Reit!$I:$I,MATCH(AK13,Reit!$F:$F,0)),"")</f>
        <v/>
      </c>
      <c r="AM13" s="829" t="str">
        <f t="shared" si="5"/>
        <v/>
      </c>
      <c r="AN13" s="830" t="str">
        <f>IFERROR(INDEX(Reit!$I:$I,MATCH(AM13,Reit!$F:$F,0)),"")</f>
        <v/>
      </c>
    </row>
    <row r="14" spans="1:40" ht="25.5" x14ac:dyDescent="0.2">
      <c r="A14" s="685">
        <v>7</v>
      </c>
      <c r="B14" s="696" t="s">
        <v>562</v>
      </c>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6"/>
        <v>0</v>
      </c>
      <c r="X14" s="692"/>
      <c r="Y14" s="687">
        <f t="shared" si="7"/>
        <v>0</v>
      </c>
      <c r="Z14" s="688" t="s">
        <v>377</v>
      </c>
      <c r="AA14" s="693">
        <f t="shared" si="8"/>
        <v>0</v>
      </c>
      <c r="AB14" s="694">
        <f t="shared" si="9"/>
        <v>0</v>
      </c>
      <c r="AC14" s="695"/>
      <c r="AD14" s="676">
        <f t="shared" ca="1" si="10"/>
        <v>515</v>
      </c>
      <c r="AE14" s="829" t="str">
        <f t="shared" si="1"/>
        <v>Andrei Grintšak</v>
      </c>
      <c r="AF14" s="830">
        <f ca="1">IFERROR(INDEX(Reit!$I:$I,MATCH(AE14,Reit!$F:$F,0)),"")</f>
        <v>168</v>
      </c>
      <c r="AG14" s="829" t="str">
        <f t="shared" si="2"/>
        <v>Oksana Rõndenkova</v>
      </c>
      <c r="AH14" s="830">
        <f ca="1">IFERROR(INDEX(Reit!$I:$I,MATCH(AG14,Reit!$F:$F,0)),"")</f>
        <v>89</v>
      </c>
      <c r="AI14" s="829" t="str">
        <f t="shared" si="3"/>
        <v>Oleg Rõndenkov</v>
      </c>
      <c r="AJ14" s="830">
        <f ca="1">IFERROR(INDEX(Reit!$I:$I,MATCH(AI14,Reit!$F:$F,0)),"")</f>
        <v>258</v>
      </c>
      <c r="AK14" s="891" t="str">
        <f t="shared" si="4"/>
        <v/>
      </c>
      <c r="AL14" s="830" t="str">
        <f>IFERROR(INDEX(Reit!$I:$I,MATCH(AK14,Reit!$F:$F,0)),"")</f>
        <v/>
      </c>
      <c r="AM14" s="829" t="str">
        <f t="shared" si="5"/>
        <v/>
      </c>
      <c r="AN14" s="830" t="str">
        <f>IFERROR(INDEX(Reit!$I:$I,MATCH(AM14,Reit!$F:$F,0)),"")</f>
        <v/>
      </c>
    </row>
    <row r="15" spans="1:40" x14ac:dyDescent="0.2">
      <c r="A15" s="685">
        <v>8</v>
      </c>
      <c r="B15" s="696" t="s">
        <v>563</v>
      </c>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6"/>
        <v>0</v>
      </c>
      <c r="X15" s="692"/>
      <c r="Y15" s="687">
        <f t="shared" si="7"/>
        <v>0</v>
      </c>
      <c r="Z15" s="688" t="s">
        <v>377</v>
      </c>
      <c r="AA15" s="693">
        <f t="shared" si="8"/>
        <v>0</v>
      </c>
      <c r="AB15" s="694">
        <f t="shared" si="9"/>
        <v>0</v>
      </c>
      <c r="AC15" s="695"/>
      <c r="AD15" s="676">
        <f t="shared" ca="1" si="10"/>
        <v>698</v>
      </c>
      <c r="AE15" s="829" t="str">
        <f t="shared" si="1"/>
        <v>Boriss Klubov</v>
      </c>
      <c r="AF15" s="830">
        <f ca="1">IFERROR(INDEX(Reit!$I:$I,MATCH(AE15,Reit!$F:$F,0)),"")</f>
        <v>190</v>
      </c>
      <c r="AG15" s="829" t="str">
        <f t="shared" si="2"/>
        <v>Elmo Lageda</v>
      </c>
      <c r="AH15" s="830">
        <f ca="1">IFERROR(INDEX(Reit!$I:$I,MATCH(AG15,Reit!$F:$F,0)),"")</f>
        <v>258</v>
      </c>
      <c r="AI15" s="829" t="str">
        <f t="shared" si="3"/>
        <v>Tõnu Piik</v>
      </c>
      <c r="AJ15" s="830">
        <f ca="1">IFERROR(INDEX(Reit!$I:$I,MATCH(AI15,Reit!$F:$F,0)),"")</f>
        <v>250</v>
      </c>
      <c r="AK15" s="891" t="str">
        <f t="shared" si="4"/>
        <v/>
      </c>
      <c r="AL15" s="830" t="str">
        <f>IFERROR(INDEX(Reit!$I:$I,MATCH(AK15,Reit!$F:$F,0)),"")</f>
        <v/>
      </c>
      <c r="AM15" s="829" t="str">
        <f t="shared" si="5"/>
        <v/>
      </c>
      <c r="AN15" s="830" t="str">
        <f>IFERROR(INDEX(Reit!$I:$I,MATCH(AM15,Reit!$F:$F,0)),"")</f>
        <v/>
      </c>
    </row>
    <row r="16" spans="1:40" x14ac:dyDescent="0.2">
      <c r="A16" s="685">
        <v>9</v>
      </c>
      <c r="B16" s="686" t="s">
        <v>564</v>
      </c>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6"/>
        <v>0</v>
      </c>
      <c r="X16" s="692"/>
      <c r="Y16" s="687">
        <f t="shared" si="7"/>
        <v>0</v>
      </c>
      <c r="Z16" s="688" t="s">
        <v>377</v>
      </c>
      <c r="AA16" s="693">
        <f t="shared" si="8"/>
        <v>0</v>
      </c>
      <c r="AB16" s="694">
        <f t="shared" si="9"/>
        <v>0</v>
      </c>
      <c r="AC16" s="695"/>
      <c r="AD16" s="676">
        <f t="shared" ca="1" si="10"/>
        <v>435</v>
      </c>
      <c r="AE16" s="829" t="str">
        <f t="shared" si="1"/>
        <v>Andres Veski</v>
      </c>
      <c r="AF16" s="830">
        <f ca="1">IFERROR(INDEX(Reit!$I:$I,MATCH(AE16,Reit!$F:$F,0)),"")</f>
        <v>234</v>
      </c>
      <c r="AG16" s="829" t="str">
        <f t="shared" si="2"/>
        <v>Meelis Luud</v>
      </c>
      <c r="AH16" s="830">
        <f ca="1">IFERROR(INDEX(Reit!$I:$I,MATCH(AG16,Reit!$F:$F,0)),"")</f>
        <v>41</v>
      </c>
      <c r="AI16" s="829" t="str">
        <f t="shared" si="3"/>
        <v>Svetlana Veski</v>
      </c>
      <c r="AJ16" s="830">
        <f ca="1">IFERROR(INDEX(Reit!$I:$I,MATCH(AI16,Reit!$F:$F,0)),"")</f>
        <v>160</v>
      </c>
      <c r="AK16" s="891" t="str">
        <f t="shared" si="4"/>
        <v/>
      </c>
      <c r="AL16" s="830" t="str">
        <f>IFERROR(INDEX(Reit!$I:$I,MATCH(AK16,Reit!$F:$F,0)),"")</f>
        <v/>
      </c>
      <c r="AM16" s="829" t="str">
        <f t="shared" si="5"/>
        <v/>
      </c>
      <c r="AN16" s="830" t="str">
        <f>IFERROR(INDEX(Reit!$I:$I,MATCH(AM16,Reit!$F:$F,0)),"")</f>
        <v/>
      </c>
    </row>
    <row r="17" spans="1:40" ht="25.5" x14ac:dyDescent="0.2">
      <c r="A17" s="685">
        <v>10</v>
      </c>
      <c r="B17" s="686" t="s">
        <v>565</v>
      </c>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6"/>
        <v>0</v>
      </c>
      <c r="X17" s="692"/>
      <c r="Y17" s="687">
        <f t="shared" si="7"/>
        <v>0</v>
      </c>
      <c r="Z17" s="688" t="s">
        <v>377</v>
      </c>
      <c r="AA17" s="693">
        <f t="shared" si="8"/>
        <v>0</v>
      </c>
      <c r="AB17" s="694">
        <f t="shared" si="9"/>
        <v>0</v>
      </c>
      <c r="AC17" s="695"/>
      <c r="AD17" s="676">
        <f t="shared" ca="1" si="10"/>
        <v>328</v>
      </c>
      <c r="AE17" s="829" t="str">
        <f t="shared" si="1"/>
        <v>Liidia Põllu</v>
      </c>
      <c r="AF17" s="830">
        <f ca="1">IFERROR(INDEX(Reit!$I:$I,MATCH(AE17,Reit!$F:$F,0)),"")</f>
        <v>46</v>
      </c>
      <c r="AG17" s="829" t="str">
        <f t="shared" si="2"/>
        <v>Tõnu Kapper</v>
      </c>
      <c r="AH17" s="830">
        <f ca="1">IFERROR(INDEX(Reit!$I:$I,MATCH(AG17,Reit!$F:$F,0)),"")</f>
        <v>158</v>
      </c>
      <c r="AI17" s="829" t="str">
        <f t="shared" si="3"/>
        <v>Vladimir Ogneštšikov</v>
      </c>
      <c r="AJ17" s="830">
        <f ca="1">IFERROR(INDEX(Reit!$I:$I,MATCH(AI17,Reit!$F:$F,0)),"")</f>
        <v>124</v>
      </c>
      <c r="AK17" s="891" t="str">
        <f t="shared" si="4"/>
        <v/>
      </c>
      <c r="AL17" s="830" t="str">
        <f>IFERROR(INDEX(Reit!$I:$I,MATCH(AK17,Reit!$F:$F,0)),"")</f>
        <v/>
      </c>
      <c r="AM17" s="829" t="str">
        <f t="shared" si="5"/>
        <v/>
      </c>
      <c r="AN17" s="830" t="str">
        <f>IFERROR(INDEX(Reit!$I:$I,MATCH(AM17,Reit!$F:$F,0)),"")</f>
        <v/>
      </c>
    </row>
    <row r="18" spans="1:40" x14ac:dyDescent="0.2">
      <c r="A18" s="685">
        <v>11</v>
      </c>
      <c r="B18" s="696" t="s">
        <v>566</v>
      </c>
      <c r="C18" s="687"/>
      <c r="D18" s="688" t="s">
        <v>377</v>
      </c>
      <c r="E18" s="689"/>
      <c r="F18" s="690"/>
      <c r="G18" s="687"/>
      <c r="H18" s="688" t="s">
        <v>377</v>
      </c>
      <c r="I18" s="689"/>
      <c r="J18" s="690"/>
      <c r="K18" s="687"/>
      <c r="L18" s="688" t="s">
        <v>377</v>
      </c>
      <c r="M18" s="689"/>
      <c r="N18" s="690"/>
      <c r="O18" s="687"/>
      <c r="P18" s="688" t="s">
        <v>377</v>
      </c>
      <c r="Q18" s="689"/>
      <c r="R18" s="690"/>
      <c r="S18" s="687"/>
      <c r="T18" s="688" t="s">
        <v>377</v>
      </c>
      <c r="U18" s="689"/>
      <c r="V18" s="690"/>
      <c r="W18" s="691">
        <f t="shared" si="6"/>
        <v>0</v>
      </c>
      <c r="X18" s="692"/>
      <c r="Y18" s="687">
        <f t="shared" si="7"/>
        <v>0</v>
      </c>
      <c r="Z18" s="688" t="s">
        <v>377</v>
      </c>
      <c r="AA18" s="693">
        <f t="shared" si="8"/>
        <v>0</v>
      </c>
      <c r="AB18" s="694">
        <f t="shared" si="9"/>
        <v>0</v>
      </c>
      <c r="AC18" s="695"/>
      <c r="AD18" s="676">
        <f t="shared" ca="1" si="10"/>
        <v>148</v>
      </c>
      <c r="AE18" s="829" t="str">
        <f t="shared" si="1"/>
        <v>Enn Tokman</v>
      </c>
      <c r="AF18" s="830">
        <f ca="1">IFERROR(INDEX(Reit!$I:$I,MATCH(AE18,Reit!$F:$F,0)),"")</f>
        <v>80</v>
      </c>
      <c r="AG18" s="829" t="str">
        <f t="shared" si="2"/>
        <v>Illar Tõnurist</v>
      </c>
      <c r="AH18" s="830">
        <f ca="1">IFERROR(INDEX(Reit!$I:$I,MATCH(AG18,Reit!$F:$F,0)),"")</f>
        <v>39</v>
      </c>
      <c r="AI18" s="829" t="str">
        <f t="shared" si="3"/>
        <v>Tarmo Bombe</v>
      </c>
      <c r="AJ18" s="830">
        <f ca="1">IFERROR(INDEX(Reit!$I:$I,MATCH(AI18,Reit!$F:$F,0)),"")</f>
        <v>29</v>
      </c>
      <c r="AK18" s="891" t="str">
        <f t="shared" si="4"/>
        <v/>
      </c>
      <c r="AL18" s="830" t="str">
        <f>IFERROR(INDEX(Reit!$I:$I,MATCH(AK18,Reit!$F:$F,0)),"")</f>
        <v/>
      </c>
      <c r="AM18" s="829" t="str">
        <f t="shared" si="5"/>
        <v/>
      </c>
      <c r="AN18" s="830" t="str">
        <f>IFERROR(INDEX(Reit!$I:$I,MATCH(AM18,Reit!$F:$F,0)),"")</f>
        <v/>
      </c>
    </row>
    <row r="19" spans="1:40" hidden="1" x14ac:dyDescent="0.2">
      <c r="A19" s="652"/>
      <c r="B19" s="652"/>
      <c r="C19" s="652"/>
      <c r="D19" s="652"/>
      <c r="E19" s="652"/>
      <c r="F19" s="652"/>
      <c r="G19" s="652"/>
      <c r="H19" s="652"/>
      <c r="I19" s="652"/>
      <c r="J19" s="652"/>
      <c r="K19" s="652"/>
      <c r="L19" s="652"/>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row>
    <row r="20" spans="1:40" hidden="1" x14ac:dyDescent="0.2">
      <c r="A20" s="652"/>
      <c r="B20" s="652"/>
      <c r="C20" s="652"/>
      <c r="D20" s="652"/>
      <c r="E20" s="652"/>
      <c r="F20" s="652"/>
      <c r="G20" s="652"/>
      <c r="H20" s="652"/>
      <c r="I20" s="652"/>
      <c r="J20" s="652"/>
      <c r="K20" s="652"/>
      <c r="L20" s="652"/>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row>
    <row r="21" spans="1:40" hidden="1" x14ac:dyDescent="0.2">
      <c r="A21" s="652"/>
      <c r="B21" s="652"/>
      <c r="C21" s="652"/>
      <c r="D21" s="652"/>
      <c r="E21" s="652"/>
      <c r="F21" s="652"/>
      <c r="G21" s="652"/>
      <c r="H21" s="652"/>
      <c r="I21" s="652"/>
      <c r="J21" s="652"/>
      <c r="K21" s="652"/>
      <c r="L21" s="652"/>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row>
    <row r="22" spans="1:40" hidden="1" x14ac:dyDescent="0.2">
      <c r="A22" s="652"/>
      <c r="B22" s="652"/>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row>
    <row r="23" spans="1:40" hidden="1" x14ac:dyDescent="0.2">
      <c r="A23" s="652"/>
      <c r="B23" s="652"/>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row>
    <row r="24" spans="1:40" hidden="1" x14ac:dyDescent="0.2">
      <c r="A24" s="652"/>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row>
    <row r="25" spans="1:40" hidden="1" x14ac:dyDescent="0.2">
      <c r="A25" s="652"/>
      <c r="B25" s="652"/>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row>
    <row r="26" spans="1:40" hidden="1" x14ac:dyDescent="0.2">
      <c r="A26" s="652"/>
      <c r="B26" s="652"/>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row>
    <row r="27" spans="1:40" hidden="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row>
    <row r="28" spans="1:40" hidden="1" x14ac:dyDescent="0.2">
      <c r="A28" s="652"/>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row>
    <row r="29" spans="1:40" hidden="1" x14ac:dyDescent="0.2">
      <c r="A29" s="652"/>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row>
    <row r="30" spans="1:40"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row>
    <row r="31" spans="1:40"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row>
    <row r="32" spans="1:40"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row>
    <row r="33" spans="1:39"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row>
    <row r="34" spans="1:39"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row>
    <row r="35" spans="1:39"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row>
    <row r="36" spans="1:39"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2"/>
    </row>
    <row r="133" spans="1:39"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c r="AH133" s="652"/>
      <c r="AI133" s="652"/>
      <c r="AJ133" s="652"/>
      <c r="AK133" s="652"/>
      <c r="AL133" s="652"/>
      <c r="AM133" s="652"/>
    </row>
    <row r="134" spans="1:39" hidden="1" x14ac:dyDescent="0.2">
      <c r="A134" s="652"/>
      <c r="B134" s="652"/>
      <c r="C134" s="652"/>
      <c r="D134" s="652"/>
      <c r="E134" s="652"/>
      <c r="F134" s="652"/>
      <c r="G134" s="652"/>
      <c r="H134" s="652"/>
      <c r="I134" s="652"/>
      <c r="J134" s="652"/>
      <c r="K134" s="652"/>
      <c r="L134" s="657"/>
      <c r="M134" s="657"/>
      <c r="N134" s="657"/>
      <c r="O134" s="652"/>
      <c r="P134" s="652"/>
      <c r="Q134" s="652"/>
      <c r="R134" s="652"/>
      <c r="S134" s="652"/>
      <c r="T134" s="657"/>
      <c r="U134" s="657"/>
      <c r="V134" s="657"/>
      <c r="W134" s="652"/>
      <c r="X134" s="652"/>
      <c r="Y134" s="652"/>
      <c r="Z134" s="652"/>
      <c r="AA134" s="652"/>
      <c r="AB134" s="652"/>
      <c r="AC134" s="652"/>
      <c r="AD134" s="652"/>
      <c r="AE134" s="652"/>
      <c r="AF134" s="652"/>
      <c r="AG134" s="652"/>
      <c r="AH134" s="652"/>
      <c r="AI134" s="652"/>
      <c r="AJ134" s="652"/>
      <c r="AK134" s="652"/>
      <c r="AL134" s="652"/>
      <c r="AM134" s="652"/>
    </row>
    <row r="135" spans="1:39" hidden="1" x14ac:dyDescent="0.2">
      <c r="A135" s="652"/>
      <c r="B135" s="652"/>
      <c r="C135" s="652"/>
      <c r="D135" s="652"/>
      <c r="E135" s="652"/>
      <c r="F135" s="652"/>
      <c r="G135" s="652"/>
      <c r="H135" s="652"/>
      <c r="I135" s="652"/>
      <c r="J135" s="652"/>
      <c r="K135" s="652"/>
      <c r="L135" s="657"/>
      <c r="M135" s="657"/>
      <c r="N135" s="657"/>
      <c r="O135" s="652"/>
      <c r="P135" s="652"/>
      <c r="Q135" s="652"/>
      <c r="R135" s="652"/>
      <c r="S135" s="652"/>
      <c r="T135" s="657"/>
      <c r="U135" s="657"/>
      <c r="V135" s="657"/>
      <c r="W135" s="652"/>
      <c r="X135" s="652"/>
      <c r="Y135" s="652"/>
      <c r="Z135" s="652"/>
      <c r="AA135" s="652"/>
      <c r="AB135" s="652"/>
      <c r="AC135" s="652"/>
      <c r="AD135" s="652"/>
      <c r="AE135" s="652"/>
      <c r="AF135" s="652"/>
      <c r="AG135" s="652"/>
      <c r="AH135" s="652"/>
      <c r="AI135" s="652"/>
      <c r="AJ135" s="652"/>
      <c r="AK135" s="652"/>
      <c r="AL135" s="652"/>
      <c r="AM135" s="652"/>
    </row>
    <row r="136" spans="1:39" hidden="1" x14ac:dyDescent="0.2">
      <c r="A136" s="652"/>
      <c r="B136" s="652"/>
      <c r="C136" s="652"/>
      <c r="D136" s="652"/>
      <c r="E136" s="652"/>
      <c r="F136" s="652"/>
      <c r="G136" s="652"/>
      <c r="H136" s="652"/>
      <c r="I136" s="652"/>
      <c r="J136" s="652"/>
      <c r="K136" s="652"/>
      <c r="L136" s="657"/>
      <c r="M136" s="657"/>
      <c r="N136" s="657"/>
      <c r="O136" s="652"/>
      <c r="P136" s="652"/>
      <c r="Q136" s="652"/>
      <c r="R136" s="652"/>
      <c r="S136" s="652"/>
      <c r="T136" s="657"/>
      <c r="U136" s="657"/>
      <c r="V136" s="657"/>
      <c r="W136" s="652"/>
      <c r="X136" s="652"/>
      <c r="Y136" s="652"/>
      <c r="Z136" s="652"/>
      <c r="AA136" s="652"/>
      <c r="AB136" s="652"/>
      <c r="AC136" s="652"/>
      <c r="AD136" s="652"/>
      <c r="AE136" s="652"/>
      <c r="AF136" s="652"/>
      <c r="AG136" s="652"/>
      <c r="AH136" s="652"/>
      <c r="AI136" s="652"/>
      <c r="AJ136" s="652"/>
      <c r="AK136" s="652"/>
      <c r="AL136" s="652"/>
      <c r="AM136" s="652"/>
    </row>
    <row r="137" spans="1:39" hidden="1" x14ac:dyDescent="0.2">
      <c r="A137" s="652"/>
      <c r="B137" s="652"/>
      <c r="C137" s="652"/>
      <c r="D137" s="652"/>
      <c r="E137" s="652"/>
      <c r="F137" s="652"/>
      <c r="G137" s="652"/>
      <c r="H137" s="652"/>
      <c r="I137" s="652"/>
      <c r="J137" s="652"/>
      <c r="K137" s="652"/>
      <c r="L137" s="657"/>
      <c r="M137" s="657"/>
      <c r="N137" s="657"/>
      <c r="O137" s="652"/>
      <c r="P137" s="652"/>
      <c r="Q137" s="652"/>
      <c r="R137" s="652"/>
      <c r="S137" s="652"/>
      <c r="T137" s="657"/>
      <c r="U137" s="657"/>
      <c r="V137" s="657"/>
      <c r="W137" s="652"/>
      <c r="X137" s="652"/>
      <c r="Y137" s="652"/>
      <c r="Z137" s="652"/>
      <c r="AA137" s="652"/>
      <c r="AB137" s="652"/>
      <c r="AC137" s="652"/>
      <c r="AD137" s="652"/>
      <c r="AE137" s="652"/>
      <c r="AF137" s="652"/>
      <c r="AG137" s="652"/>
      <c r="AH137" s="652"/>
      <c r="AI137" s="652"/>
      <c r="AJ137" s="652"/>
      <c r="AK137" s="652"/>
      <c r="AL137" s="652"/>
      <c r="AM137" s="652"/>
    </row>
    <row r="138" spans="1:39" hidden="1" x14ac:dyDescent="0.2">
      <c r="A138" s="652"/>
      <c r="B138" s="652"/>
      <c r="C138" s="652"/>
      <c r="D138" s="652"/>
      <c r="E138" s="652"/>
      <c r="F138" s="652"/>
      <c r="G138" s="652"/>
      <c r="H138" s="652"/>
      <c r="I138" s="652"/>
      <c r="J138" s="652"/>
      <c r="K138" s="652"/>
      <c r="L138" s="657"/>
      <c r="M138" s="657"/>
      <c r="N138" s="657"/>
      <c r="O138" s="652"/>
      <c r="P138" s="652"/>
      <c r="Q138" s="652"/>
      <c r="R138" s="652"/>
      <c r="S138" s="652"/>
      <c r="T138" s="657"/>
      <c r="U138" s="657"/>
      <c r="V138" s="657"/>
      <c r="W138" s="652"/>
      <c r="X138" s="652"/>
      <c r="Y138" s="652"/>
      <c r="Z138" s="652"/>
      <c r="AA138" s="652"/>
      <c r="AB138" s="652"/>
      <c r="AC138" s="652"/>
      <c r="AD138" s="652"/>
      <c r="AE138" s="652"/>
      <c r="AF138" s="652"/>
      <c r="AG138" s="652"/>
      <c r="AH138" s="652"/>
      <c r="AI138" s="652"/>
      <c r="AJ138" s="652"/>
      <c r="AK138" s="652"/>
      <c r="AL138" s="652"/>
      <c r="AM138" s="652"/>
    </row>
    <row r="139" spans="1:39" hidden="1" x14ac:dyDescent="0.2">
      <c r="A139" s="652"/>
      <c r="B139" s="652"/>
      <c r="C139" s="652"/>
      <c r="D139" s="652"/>
      <c r="E139" s="652"/>
      <c r="F139" s="652"/>
      <c r="G139" s="652"/>
      <c r="H139" s="652"/>
      <c r="I139" s="652"/>
      <c r="J139" s="652"/>
      <c r="K139" s="652"/>
      <c r="L139" s="657"/>
      <c r="M139" s="657"/>
      <c r="N139" s="657"/>
      <c r="O139" s="652"/>
      <c r="P139" s="652"/>
      <c r="Q139" s="652"/>
      <c r="R139" s="652"/>
      <c r="S139" s="652"/>
      <c r="T139" s="657"/>
      <c r="U139" s="657"/>
      <c r="V139" s="657"/>
      <c r="W139" s="652"/>
      <c r="X139" s="652"/>
      <c r="Y139" s="652"/>
      <c r="Z139" s="652"/>
      <c r="AA139" s="652"/>
      <c r="AB139" s="652"/>
      <c r="AC139" s="652"/>
      <c r="AD139" s="652"/>
      <c r="AE139" s="652"/>
      <c r="AF139" s="652"/>
      <c r="AG139" s="652"/>
      <c r="AH139" s="652"/>
      <c r="AI139" s="652"/>
      <c r="AJ139" s="652"/>
      <c r="AK139" s="652"/>
      <c r="AL139" s="652"/>
      <c r="AM139" s="652"/>
    </row>
    <row r="140" spans="1:39" hidden="1" x14ac:dyDescent="0.2">
      <c r="A140" s="652"/>
      <c r="B140" s="652"/>
      <c r="C140" s="652"/>
      <c r="D140" s="652"/>
      <c r="E140" s="652"/>
      <c r="F140" s="652"/>
      <c r="G140" s="652"/>
      <c r="H140" s="652"/>
      <c r="I140" s="652"/>
      <c r="J140" s="652"/>
      <c r="K140" s="652"/>
      <c r="L140" s="657"/>
      <c r="M140" s="657"/>
      <c r="N140" s="657"/>
      <c r="O140" s="652"/>
      <c r="P140" s="652"/>
      <c r="Q140" s="652"/>
      <c r="R140" s="652"/>
      <c r="S140" s="652"/>
      <c r="T140" s="657"/>
      <c r="U140" s="657"/>
      <c r="V140" s="657"/>
      <c r="W140" s="652"/>
      <c r="X140" s="652"/>
      <c r="Y140" s="652"/>
      <c r="Z140" s="652"/>
      <c r="AA140" s="652"/>
      <c r="AB140" s="652"/>
      <c r="AC140" s="652"/>
      <c r="AD140" s="652"/>
      <c r="AE140" s="652"/>
      <c r="AF140" s="652"/>
      <c r="AG140" s="652"/>
      <c r="AH140" s="652"/>
      <c r="AI140" s="652"/>
      <c r="AJ140" s="652"/>
      <c r="AK140" s="652"/>
      <c r="AL140" s="652"/>
      <c r="AM140" s="652"/>
    </row>
    <row r="141" spans="1:39" hidden="1" x14ac:dyDescent="0.2">
      <c r="A141" s="652"/>
      <c r="B141" s="652"/>
      <c r="C141" s="652"/>
      <c r="D141" s="652"/>
      <c r="E141" s="652"/>
      <c r="F141" s="652"/>
      <c r="G141" s="652"/>
      <c r="H141" s="652"/>
      <c r="I141" s="652"/>
      <c r="J141" s="652"/>
      <c r="K141" s="652"/>
      <c r="L141" s="657"/>
      <c r="M141" s="657"/>
      <c r="N141" s="657"/>
      <c r="O141" s="652"/>
      <c r="P141" s="652"/>
      <c r="Q141" s="652"/>
      <c r="R141" s="652"/>
      <c r="S141" s="652"/>
      <c r="T141" s="657"/>
      <c r="U141" s="657"/>
      <c r="V141" s="657"/>
      <c r="W141" s="652"/>
      <c r="X141" s="652"/>
      <c r="Y141" s="652"/>
      <c r="Z141" s="652"/>
      <c r="AA141" s="652"/>
      <c r="AB141" s="652"/>
      <c r="AC141" s="652"/>
      <c r="AD141" s="652"/>
      <c r="AE141" s="652"/>
      <c r="AF141" s="652"/>
      <c r="AG141" s="652"/>
      <c r="AH141" s="652"/>
      <c r="AI141" s="652"/>
      <c r="AJ141" s="652"/>
      <c r="AK141" s="652"/>
      <c r="AL141" s="652"/>
      <c r="AM141" s="652"/>
    </row>
    <row r="142" spans="1:39" hidden="1" x14ac:dyDescent="0.2">
      <c r="A142" s="652"/>
      <c r="B142" s="652"/>
      <c r="C142" s="652"/>
      <c r="D142" s="652"/>
      <c r="E142" s="652"/>
      <c r="F142" s="652"/>
      <c r="G142" s="652"/>
      <c r="H142" s="652"/>
      <c r="I142" s="652"/>
      <c r="J142" s="652"/>
      <c r="K142" s="652"/>
      <c r="L142" s="657"/>
      <c r="M142" s="657"/>
      <c r="N142" s="657"/>
      <c r="O142" s="652"/>
      <c r="P142" s="652"/>
      <c r="Q142" s="652"/>
      <c r="R142" s="652"/>
      <c r="S142" s="652"/>
      <c r="T142" s="657"/>
      <c r="U142" s="657"/>
      <c r="V142" s="657"/>
      <c r="W142" s="652"/>
      <c r="X142" s="652"/>
      <c r="Y142" s="652"/>
      <c r="Z142" s="652"/>
      <c r="AA142" s="652"/>
      <c r="AB142" s="652"/>
      <c r="AC142" s="652"/>
      <c r="AD142" s="652"/>
      <c r="AE142" s="652"/>
      <c r="AF142" s="652"/>
      <c r="AG142" s="652"/>
      <c r="AH142" s="652"/>
      <c r="AI142" s="652"/>
      <c r="AJ142" s="652"/>
      <c r="AK142" s="652"/>
      <c r="AL142" s="652"/>
      <c r="AM142" s="652"/>
    </row>
    <row r="143" spans="1:39" hidden="1" x14ac:dyDescent="0.2">
      <c r="A143" s="652"/>
      <c r="B143" s="652"/>
      <c r="C143" s="652"/>
      <c r="D143" s="652"/>
      <c r="E143" s="652"/>
      <c r="F143" s="652"/>
      <c r="G143" s="652"/>
      <c r="H143" s="652"/>
      <c r="I143" s="652"/>
      <c r="J143" s="652"/>
      <c r="K143" s="652"/>
      <c r="L143" s="657"/>
      <c r="M143" s="657"/>
      <c r="N143" s="657"/>
      <c r="O143" s="652"/>
      <c r="P143" s="652"/>
      <c r="Q143" s="652"/>
      <c r="R143" s="652"/>
      <c r="S143" s="652"/>
      <c r="T143" s="657"/>
      <c r="U143" s="657"/>
      <c r="V143" s="657"/>
      <c r="W143" s="652"/>
      <c r="X143" s="652"/>
      <c r="Y143" s="652"/>
      <c r="Z143" s="652"/>
      <c r="AA143" s="652"/>
      <c r="AB143" s="652"/>
      <c r="AC143" s="652"/>
      <c r="AD143" s="652"/>
      <c r="AE143" s="652"/>
      <c r="AF143" s="652"/>
      <c r="AG143" s="652"/>
      <c r="AH143" s="652"/>
      <c r="AI143" s="652"/>
      <c r="AJ143" s="652"/>
      <c r="AK143" s="652"/>
      <c r="AL143" s="652"/>
      <c r="AM143" s="652"/>
    </row>
    <row r="144" spans="1:39" hidden="1" x14ac:dyDescent="0.2">
      <c r="A144" s="652"/>
      <c r="B144" s="652"/>
      <c r="C144" s="652"/>
      <c r="D144" s="652"/>
      <c r="E144" s="652"/>
      <c r="F144" s="652"/>
      <c r="G144" s="652"/>
      <c r="H144" s="652"/>
      <c r="I144" s="652"/>
      <c r="J144" s="652"/>
      <c r="K144" s="652"/>
      <c r="L144" s="657"/>
      <c r="M144" s="657"/>
      <c r="N144" s="657"/>
      <c r="O144" s="652"/>
      <c r="P144" s="652"/>
      <c r="Q144" s="652"/>
      <c r="R144" s="652"/>
      <c r="S144" s="652"/>
      <c r="T144" s="657"/>
      <c r="U144" s="657"/>
      <c r="V144" s="657"/>
      <c r="W144" s="652"/>
      <c r="X144" s="652"/>
      <c r="Y144" s="652"/>
      <c r="Z144" s="652"/>
      <c r="AA144" s="652"/>
      <c r="AB144" s="652"/>
      <c r="AC144" s="652"/>
      <c r="AD144" s="652"/>
      <c r="AE144" s="652"/>
      <c r="AF144" s="652"/>
      <c r="AG144" s="652"/>
      <c r="AH144" s="652"/>
      <c r="AI144" s="652"/>
      <c r="AJ144" s="652"/>
      <c r="AK144" s="652"/>
      <c r="AL144" s="652"/>
      <c r="AM144" s="652"/>
    </row>
    <row r="145" spans="1:39"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652"/>
      <c r="AF145" s="652"/>
      <c r="AG145" s="652"/>
      <c r="AH145" s="652"/>
      <c r="AI145" s="652"/>
      <c r="AJ145" s="652"/>
      <c r="AK145" s="652"/>
      <c r="AL145" s="652"/>
      <c r="AM145" s="652"/>
    </row>
    <row r="146" spans="1:39"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652"/>
      <c r="AF146" s="652"/>
      <c r="AG146" s="652"/>
      <c r="AH146" s="652"/>
      <c r="AI146" s="652"/>
      <c r="AJ146" s="652"/>
      <c r="AK146" s="652"/>
      <c r="AL146" s="652"/>
      <c r="AM146" s="652"/>
    </row>
    <row r="147" spans="1:39"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c r="AI148" s="652"/>
      <c r="AJ148" s="652"/>
      <c r="AK148" s="652"/>
      <c r="AL148" s="652"/>
      <c r="AM148" s="652"/>
    </row>
    <row r="149" spans="1:39"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c r="AH149" s="652"/>
      <c r="AI149" s="652"/>
      <c r="AJ149" s="652"/>
      <c r="AK149" s="652"/>
      <c r="AL149" s="652"/>
      <c r="AM149" s="652"/>
    </row>
    <row r="150" spans="1:39" hidden="1" x14ac:dyDescent="0.2">
      <c r="A150" s="652"/>
      <c r="B150" s="652"/>
      <c r="C150" s="652"/>
      <c r="D150" s="652"/>
      <c r="E150" s="652"/>
      <c r="F150" s="652"/>
      <c r="G150" s="652"/>
      <c r="H150" s="652"/>
      <c r="I150" s="652"/>
      <c r="J150" s="652"/>
      <c r="K150" s="652"/>
      <c r="L150" s="652"/>
      <c r="M150" s="652"/>
      <c r="N150" s="652"/>
      <c r="O150" s="652"/>
      <c r="P150" s="652"/>
      <c r="Q150" s="652"/>
      <c r="R150" s="652"/>
      <c r="S150" s="652"/>
      <c r="T150" s="652"/>
      <c r="U150" s="652"/>
      <c r="V150" s="652"/>
      <c r="W150" s="652"/>
      <c r="X150" s="652"/>
      <c r="Y150" s="652"/>
      <c r="Z150" s="652"/>
      <c r="AA150" s="652"/>
      <c r="AB150" s="652"/>
      <c r="AC150" s="652"/>
      <c r="AD150" s="652"/>
      <c r="AE150" s="652"/>
      <c r="AF150" s="652"/>
      <c r="AG150" s="652"/>
      <c r="AH150" s="652"/>
      <c r="AI150" s="652"/>
      <c r="AJ150" s="652"/>
      <c r="AK150" s="652"/>
      <c r="AL150" s="652"/>
      <c r="AM150" s="652"/>
    </row>
    <row r="151" spans="1:39" hidden="1" x14ac:dyDescent="0.2">
      <c r="A151" s="652"/>
      <c r="B151" s="652"/>
      <c r="C151" s="652"/>
      <c r="D151" s="652"/>
      <c r="E151" s="652"/>
      <c r="F151" s="652"/>
      <c r="G151" s="652"/>
      <c r="H151" s="652"/>
      <c r="I151" s="652"/>
      <c r="J151" s="652"/>
      <c r="K151" s="652"/>
      <c r="L151" s="652"/>
      <c r="M151" s="652"/>
      <c r="N151" s="652"/>
      <c r="O151" s="652"/>
      <c r="P151" s="652"/>
      <c r="Q151" s="652"/>
      <c r="R151" s="652"/>
      <c r="S151" s="652"/>
      <c r="T151" s="652"/>
      <c r="U151" s="652"/>
      <c r="V151" s="652"/>
      <c r="W151" s="652"/>
      <c r="X151" s="652"/>
      <c r="Y151" s="652"/>
      <c r="Z151" s="652"/>
      <c r="AA151" s="652"/>
      <c r="AB151" s="652"/>
      <c r="AC151" s="652"/>
      <c r="AD151" s="652"/>
      <c r="AE151" s="652"/>
      <c r="AF151" s="652"/>
      <c r="AG151" s="652"/>
      <c r="AH151" s="652"/>
      <c r="AI151" s="652"/>
      <c r="AJ151" s="652"/>
      <c r="AK151" s="652"/>
      <c r="AL151" s="652"/>
      <c r="AM151" s="652"/>
    </row>
    <row r="152" spans="1:39" hidden="1" x14ac:dyDescent="0.2">
      <c r="A152" s="652"/>
      <c r="B152" s="652"/>
      <c r="C152" s="652"/>
      <c r="D152" s="652"/>
      <c r="E152" s="652"/>
      <c r="F152" s="652"/>
      <c r="G152" s="652"/>
      <c r="H152" s="652"/>
      <c r="I152" s="652"/>
      <c r="J152" s="652"/>
      <c r="K152" s="652"/>
      <c r="L152" s="652"/>
      <c r="M152" s="652"/>
      <c r="N152" s="652"/>
      <c r="O152" s="652"/>
      <c r="P152" s="652"/>
      <c r="Q152" s="652"/>
      <c r="R152" s="652"/>
      <c r="S152" s="652"/>
      <c r="T152" s="652"/>
      <c r="U152" s="652"/>
      <c r="V152" s="652"/>
      <c r="W152" s="652"/>
      <c r="X152" s="652"/>
      <c r="Y152" s="652"/>
      <c r="Z152" s="652"/>
      <c r="AA152" s="652"/>
      <c r="AB152" s="652"/>
      <c r="AC152" s="652"/>
      <c r="AD152" s="652"/>
      <c r="AE152" s="652"/>
      <c r="AF152" s="652"/>
      <c r="AG152" s="652"/>
      <c r="AH152" s="652"/>
      <c r="AI152" s="652"/>
      <c r="AJ152" s="652"/>
      <c r="AK152" s="652"/>
      <c r="AL152" s="652"/>
      <c r="AM152" s="652"/>
    </row>
    <row r="153" spans="1:39" hidden="1" x14ac:dyDescent="0.2">
      <c r="A153" s="652"/>
      <c r="B153" s="652"/>
      <c r="C153" s="652"/>
      <c r="D153" s="652"/>
      <c r="E153" s="652"/>
      <c r="F153" s="652"/>
      <c r="G153" s="652"/>
      <c r="H153" s="652"/>
      <c r="I153" s="652"/>
      <c r="J153" s="652"/>
      <c r="K153" s="652"/>
      <c r="L153" s="652"/>
      <c r="M153" s="652"/>
      <c r="N153" s="652"/>
      <c r="O153" s="652"/>
      <c r="P153" s="652"/>
      <c r="Q153" s="652"/>
      <c r="R153" s="652"/>
      <c r="S153" s="652"/>
      <c r="T153" s="652"/>
      <c r="U153" s="652"/>
      <c r="V153" s="652"/>
      <c r="W153" s="652"/>
      <c r="X153" s="652"/>
      <c r="Y153" s="652"/>
      <c r="Z153" s="652"/>
      <c r="AA153" s="652"/>
      <c r="AB153" s="652"/>
      <c r="AC153" s="652"/>
      <c r="AD153" s="652"/>
      <c r="AE153" s="652"/>
      <c r="AF153" s="652"/>
      <c r="AG153" s="652"/>
      <c r="AH153" s="652"/>
      <c r="AI153" s="652"/>
      <c r="AJ153" s="652"/>
      <c r="AK153" s="652"/>
      <c r="AL153" s="652"/>
      <c r="AM153" s="652"/>
    </row>
    <row r="154" spans="1:39" hidden="1" x14ac:dyDescent="0.2">
      <c r="A154" s="652"/>
      <c r="B154" s="652"/>
      <c r="C154" s="652"/>
      <c r="D154" s="652"/>
      <c r="E154" s="652"/>
      <c r="F154" s="652"/>
      <c r="G154" s="652"/>
      <c r="H154" s="652"/>
      <c r="I154" s="652"/>
      <c r="J154" s="652"/>
      <c r="K154" s="652"/>
      <c r="L154" s="652"/>
      <c r="M154" s="652"/>
      <c r="N154" s="652"/>
      <c r="O154" s="652"/>
      <c r="P154" s="652"/>
      <c r="Q154" s="652"/>
      <c r="R154" s="652"/>
      <c r="S154" s="652"/>
      <c r="T154" s="652"/>
      <c r="U154" s="652"/>
      <c r="V154" s="652"/>
      <c r="W154" s="652"/>
      <c r="X154" s="652"/>
      <c r="Y154" s="652"/>
      <c r="Z154" s="652"/>
      <c r="AA154" s="652"/>
      <c r="AB154" s="652"/>
      <c r="AC154" s="652"/>
      <c r="AD154" s="652"/>
      <c r="AE154" s="652"/>
      <c r="AF154" s="652"/>
      <c r="AG154" s="652"/>
      <c r="AH154" s="652"/>
      <c r="AI154" s="652"/>
      <c r="AJ154" s="652"/>
      <c r="AK154" s="652"/>
      <c r="AL154" s="652"/>
      <c r="AM154" s="652"/>
    </row>
    <row r="155" spans="1:39" hidden="1" x14ac:dyDescent="0.2">
      <c r="A155" s="652"/>
      <c r="B155" s="652"/>
      <c r="C155" s="652"/>
      <c r="D155" s="652"/>
      <c r="E155" s="652"/>
      <c r="F155" s="652"/>
      <c r="G155" s="652"/>
      <c r="H155" s="652"/>
      <c r="I155" s="652"/>
      <c r="J155" s="652"/>
      <c r="K155" s="652"/>
      <c r="L155" s="652"/>
      <c r="M155" s="652"/>
      <c r="N155" s="652"/>
      <c r="O155" s="652"/>
      <c r="P155" s="652"/>
      <c r="Q155" s="652"/>
      <c r="R155" s="652"/>
      <c r="S155" s="652"/>
      <c r="T155" s="652"/>
      <c r="U155" s="652"/>
      <c r="V155" s="652"/>
      <c r="W155" s="652"/>
      <c r="X155" s="652"/>
      <c r="Y155" s="652"/>
      <c r="Z155" s="652"/>
      <c r="AA155" s="652"/>
      <c r="AB155" s="652"/>
      <c r="AC155" s="652"/>
      <c r="AD155" s="652"/>
      <c r="AE155" s="652"/>
      <c r="AF155" s="652"/>
      <c r="AG155" s="652"/>
      <c r="AH155" s="652"/>
      <c r="AI155" s="652"/>
      <c r="AJ155" s="652"/>
      <c r="AK155" s="652"/>
      <c r="AL155" s="652"/>
      <c r="AM155" s="652"/>
    </row>
    <row r="156" spans="1:39" hidden="1" x14ac:dyDescent="0.2">
      <c r="A156" s="652"/>
      <c r="B156" s="652"/>
      <c r="C156" s="652"/>
      <c r="D156" s="652"/>
      <c r="E156" s="652"/>
      <c r="F156" s="652"/>
      <c r="G156" s="652"/>
      <c r="H156" s="652"/>
      <c r="I156" s="652"/>
      <c r="J156" s="652"/>
      <c r="K156" s="652"/>
      <c r="L156" s="652"/>
      <c r="M156" s="652"/>
      <c r="N156" s="652"/>
      <c r="O156" s="652"/>
      <c r="P156" s="652"/>
      <c r="Q156" s="652"/>
      <c r="R156" s="652"/>
      <c r="S156" s="652"/>
      <c r="T156" s="652"/>
      <c r="U156" s="652"/>
      <c r="V156" s="652"/>
      <c r="W156" s="652"/>
      <c r="X156" s="652"/>
      <c r="Y156" s="652"/>
      <c r="Z156" s="652"/>
      <c r="AA156" s="652"/>
      <c r="AB156" s="652"/>
      <c r="AC156" s="652"/>
      <c r="AD156" s="652"/>
      <c r="AE156" s="652"/>
      <c r="AF156" s="652"/>
      <c r="AG156" s="652"/>
      <c r="AH156" s="652"/>
      <c r="AI156" s="652"/>
      <c r="AJ156" s="652"/>
      <c r="AK156" s="652"/>
      <c r="AL156" s="652"/>
      <c r="AM156" s="652"/>
    </row>
    <row r="157" spans="1:39" hidden="1" x14ac:dyDescent="0.2">
      <c r="A157" s="652"/>
      <c r="B157" s="652"/>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652"/>
      <c r="AK157" s="652"/>
      <c r="AL157" s="652"/>
      <c r="AM157" s="652"/>
    </row>
    <row r="158" spans="1:39" hidden="1" x14ac:dyDescent="0.2">
      <c r="A158" s="652"/>
      <c r="B158" s="652"/>
      <c r="C158" s="652"/>
      <c r="D158" s="652"/>
      <c r="E158" s="652"/>
      <c r="F158" s="652"/>
      <c r="G158" s="652"/>
      <c r="H158" s="652"/>
      <c r="I158" s="652"/>
      <c r="J158" s="652"/>
      <c r="K158" s="652"/>
      <c r="L158" s="652"/>
      <c r="M158" s="652"/>
      <c r="N158" s="652"/>
      <c r="O158" s="652"/>
      <c r="P158" s="652"/>
      <c r="Q158" s="652"/>
      <c r="R158" s="652"/>
      <c r="S158" s="652"/>
      <c r="T158" s="652"/>
      <c r="U158" s="652"/>
      <c r="V158" s="652"/>
      <c r="W158" s="652"/>
      <c r="X158" s="652"/>
      <c r="Y158" s="652"/>
      <c r="Z158" s="652"/>
      <c r="AA158" s="652"/>
      <c r="AB158" s="652"/>
      <c r="AC158" s="652"/>
      <c r="AD158" s="652"/>
      <c r="AE158" s="652"/>
      <c r="AF158" s="652"/>
      <c r="AG158" s="652"/>
      <c r="AH158" s="652"/>
      <c r="AI158" s="652"/>
      <c r="AJ158" s="652"/>
      <c r="AK158" s="652"/>
      <c r="AL158" s="652"/>
      <c r="AM158" s="652"/>
    </row>
    <row r="159" spans="1:39" hidden="1" x14ac:dyDescent="0.2">
      <c r="A159" s="652"/>
      <c r="B159" s="652"/>
      <c r="C159" s="652"/>
      <c r="D159" s="652"/>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652"/>
      <c r="AF159" s="652"/>
      <c r="AG159" s="652"/>
      <c r="AH159" s="652"/>
      <c r="AI159" s="652"/>
      <c r="AJ159" s="652"/>
      <c r="AK159" s="652"/>
      <c r="AL159" s="652"/>
      <c r="AM159" s="652"/>
    </row>
    <row r="160" spans="1:39" hidden="1" x14ac:dyDescent="0.2">
      <c r="A160" s="652"/>
      <c r="B160" s="652"/>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row>
    <row r="161" spans="1:39"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row>
    <row r="162" spans="1:39" hidden="1" x14ac:dyDescent="0.2">
      <c r="A162" s="652"/>
      <c r="B162" s="652"/>
      <c r="C162" s="652"/>
      <c r="D162" s="652"/>
      <c r="E162" s="652"/>
      <c r="F162" s="652"/>
      <c r="G162" s="652"/>
      <c r="H162" s="652"/>
      <c r="I162" s="652"/>
      <c r="J162" s="652"/>
      <c r="K162" s="652"/>
      <c r="L162" s="652"/>
      <c r="M162" s="652"/>
      <c r="N162" s="652"/>
      <c r="O162" s="652"/>
      <c r="P162" s="652"/>
      <c r="Q162" s="652"/>
      <c r="R162" s="652"/>
      <c r="S162" s="652"/>
      <c r="T162" s="652"/>
      <c r="U162" s="652"/>
      <c r="V162" s="652"/>
      <c r="W162" s="652"/>
      <c r="X162" s="652"/>
      <c r="Y162" s="652"/>
      <c r="Z162" s="652"/>
      <c r="AA162" s="652"/>
      <c r="AB162" s="652"/>
      <c r="AC162" s="652"/>
      <c r="AD162" s="652"/>
      <c r="AE162" s="652"/>
      <c r="AF162" s="652"/>
      <c r="AG162" s="652"/>
      <c r="AH162" s="652"/>
      <c r="AI162" s="652"/>
      <c r="AJ162" s="652"/>
      <c r="AK162" s="652"/>
      <c r="AL162" s="652"/>
      <c r="AM162" s="652"/>
    </row>
    <row r="163" spans="1:39" hidden="1" x14ac:dyDescent="0.2">
      <c r="A163" s="652"/>
      <c r="B163" s="652"/>
      <c r="C163" s="652"/>
      <c r="D163" s="652"/>
      <c r="E163" s="652"/>
      <c r="F163" s="652"/>
      <c r="G163" s="652"/>
      <c r="H163" s="652"/>
      <c r="I163" s="652"/>
      <c r="J163" s="652"/>
      <c r="K163" s="652"/>
      <c r="L163" s="657"/>
      <c r="M163" s="657"/>
      <c r="N163" s="657"/>
      <c r="O163" s="652"/>
      <c r="P163" s="652"/>
      <c r="Q163" s="652"/>
      <c r="R163" s="652"/>
      <c r="S163" s="652"/>
      <c r="T163" s="657"/>
      <c r="U163" s="657"/>
      <c r="V163" s="657"/>
      <c r="W163" s="652"/>
      <c r="X163" s="652"/>
      <c r="Y163" s="652"/>
      <c r="Z163" s="652"/>
      <c r="AA163" s="652"/>
      <c r="AB163" s="652"/>
      <c r="AC163" s="652"/>
      <c r="AD163" s="652"/>
      <c r="AE163" s="652"/>
      <c r="AF163" s="652"/>
      <c r="AG163" s="652"/>
      <c r="AH163" s="652"/>
      <c r="AI163" s="652"/>
      <c r="AJ163" s="652"/>
      <c r="AK163" s="652"/>
      <c r="AL163" s="652"/>
      <c r="AM163" s="652"/>
    </row>
    <row r="164" spans="1:39" hidden="1" x14ac:dyDescent="0.2">
      <c r="A164" s="652"/>
      <c r="B164" s="652"/>
      <c r="C164" s="652"/>
      <c r="D164" s="652"/>
      <c r="E164" s="652"/>
      <c r="F164" s="652"/>
      <c r="G164" s="652"/>
      <c r="H164" s="652"/>
      <c r="I164" s="652"/>
      <c r="J164" s="652"/>
      <c r="K164" s="652"/>
      <c r="L164" s="657"/>
      <c r="M164" s="657"/>
      <c r="N164" s="657"/>
      <c r="O164" s="652"/>
      <c r="P164" s="652"/>
      <c r="Q164" s="652"/>
      <c r="R164" s="652"/>
      <c r="S164" s="652"/>
      <c r="T164" s="657"/>
      <c r="U164" s="657"/>
      <c r="V164" s="657"/>
      <c r="W164" s="652"/>
      <c r="X164" s="652"/>
      <c r="Y164" s="652"/>
      <c r="Z164" s="652"/>
      <c r="AA164" s="652"/>
      <c r="AB164" s="652"/>
      <c r="AC164" s="652"/>
      <c r="AD164" s="652"/>
      <c r="AE164" s="652"/>
      <c r="AF164" s="652"/>
      <c r="AG164" s="652"/>
      <c r="AH164" s="652"/>
      <c r="AI164" s="652"/>
      <c r="AJ164" s="652"/>
      <c r="AK164" s="652"/>
      <c r="AL164" s="652"/>
      <c r="AM164" s="652"/>
    </row>
    <row r="165" spans="1:39" hidden="1" x14ac:dyDescent="0.2">
      <c r="A165" s="652"/>
      <c r="B165" s="652"/>
      <c r="C165" s="652"/>
      <c r="D165" s="652"/>
      <c r="E165" s="652"/>
      <c r="F165" s="652"/>
      <c r="G165" s="652"/>
      <c r="H165" s="652"/>
      <c r="I165" s="652"/>
      <c r="J165" s="652"/>
      <c r="K165" s="652"/>
      <c r="L165" s="657"/>
      <c r="M165" s="657"/>
      <c r="N165" s="657"/>
      <c r="O165" s="652"/>
      <c r="P165" s="652"/>
      <c r="Q165" s="652"/>
      <c r="R165" s="652"/>
      <c r="S165" s="652"/>
      <c r="T165" s="657"/>
      <c r="U165" s="657"/>
      <c r="V165" s="657"/>
      <c r="W165" s="652"/>
      <c r="X165" s="652"/>
      <c r="Y165" s="652"/>
      <c r="Z165" s="652"/>
      <c r="AA165" s="652"/>
      <c r="AB165" s="652"/>
      <c r="AC165" s="652"/>
      <c r="AD165" s="652"/>
      <c r="AE165" s="652"/>
      <c r="AF165" s="652"/>
      <c r="AG165" s="652"/>
      <c r="AH165" s="652"/>
      <c r="AI165" s="652"/>
      <c r="AJ165" s="652"/>
      <c r="AK165" s="652"/>
      <c r="AL165" s="652"/>
      <c r="AM165" s="652"/>
    </row>
    <row r="166" spans="1:39" hidden="1" x14ac:dyDescent="0.2">
      <c r="A166" s="652"/>
      <c r="B166" s="652"/>
      <c r="C166" s="652"/>
      <c r="D166" s="652"/>
      <c r="E166" s="652"/>
      <c r="F166" s="652"/>
      <c r="G166" s="652"/>
      <c r="H166" s="652"/>
      <c r="I166" s="652"/>
      <c r="J166" s="652"/>
      <c r="K166" s="652"/>
      <c r="L166" s="657"/>
      <c r="M166" s="657"/>
      <c r="N166" s="657"/>
      <c r="O166" s="652"/>
      <c r="P166" s="652"/>
      <c r="Q166" s="652"/>
      <c r="R166" s="652"/>
      <c r="S166" s="652"/>
      <c r="T166" s="657"/>
      <c r="U166" s="657"/>
      <c r="V166" s="657"/>
      <c r="W166" s="652"/>
      <c r="X166" s="652"/>
      <c r="Y166" s="652"/>
      <c r="Z166" s="652"/>
      <c r="AA166" s="652"/>
      <c r="AB166" s="652"/>
      <c r="AC166" s="652"/>
      <c r="AD166" s="652"/>
      <c r="AE166" s="652"/>
      <c r="AF166" s="652"/>
      <c r="AG166" s="652"/>
      <c r="AH166" s="652"/>
      <c r="AI166" s="652"/>
      <c r="AJ166" s="652"/>
      <c r="AK166" s="652"/>
      <c r="AL166" s="652"/>
      <c r="AM166" s="652"/>
    </row>
    <row r="167" spans="1:39" hidden="1" x14ac:dyDescent="0.2">
      <c r="A167" s="652"/>
      <c r="B167" s="652"/>
      <c r="C167" s="652"/>
      <c r="D167" s="652"/>
      <c r="E167" s="652"/>
      <c r="F167" s="652"/>
      <c r="G167" s="652"/>
      <c r="H167" s="652"/>
      <c r="I167" s="652"/>
      <c r="J167" s="652"/>
      <c r="K167" s="652"/>
      <c r="L167" s="657"/>
      <c r="M167" s="657"/>
      <c r="N167" s="657"/>
      <c r="O167" s="652"/>
      <c r="P167" s="652"/>
      <c r="Q167" s="652"/>
      <c r="R167" s="652"/>
      <c r="S167" s="652"/>
      <c r="T167" s="657"/>
      <c r="U167" s="657"/>
      <c r="V167" s="657"/>
      <c r="W167" s="652"/>
      <c r="X167" s="652"/>
      <c r="Y167" s="652"/>
      <c r="Z167" s="652"/>
      <c r="AA167" s="652"/>
      <c r="AB167" s="652"/>
      <c r="AC167" s="652"/>
      <c r="AD167" s="652"/>
      <c r="AE167" s="652"/>
      <c r="AF167" s="652"/>
      <c r="AG167" s="652"/>
      <c r="AH167" s="652"/>
      <c r="AI167" s="652"/>
      <c r="AJ167" s="652"/>
      <c r="AK167" s="652"/>
      <c r="AL167" s="652"/>
      <c r="AM167" s="652"/>
    </row>
    <row r="168" spans="1:39" hidden="1" x14ac:dyDescent="0.2">
      <c r="A168" s="652"/>
      <c r="B168" s="652"/>
      <c r="C168" s="652"/>
      <c r="D168" s="652"/>
      <c r="E168" s="652"/>
      <c r="F168" s="652"/>
      <c r="G168" s="652"/>
      <c r="H168" s="652"/>
      <c r="I168" s="652"/>
      <c r="J168" s="652"/>
      <c r="K168" s="652"/>
      <c r="L168" s="657"/>
      <c r="M168" s="657"/>
      <c r="N168" s="657"/>
      <c r="O168" s="652"/>
      <c r="P168" s="652"/>
      <c r="Q168" s="652"/>
      <c r="R168" s="652"/>
      <c r="S168" s="652"/>
      <c r="T168" s="657"/>
      <c r="U168" s="657"/>
      <c r="V168" s="657"/>
      <c r="W168" s="652"/>
      <c r="X168" s="652"/>
      <c r="Y168" s="652"/>
      <c r="Z168" s="652"/>
      <c r="AA168" s="652"/>
      <c r="AB168" s="652"/>
      <c r="AC168" s="652"/>
      <c r="AD168" s="652"/>
      <c r="AE168" s="652"/>
      <c r="AF168" s="652"/>
      <c r="AG168" s="652"/>
      <c r="AH168" s="652"/>
      <c r="AI168" s="652"/>
      <c r="AJ168" s="652"/>
      <c r="AK168" s="652"/>
      <c r="AL168" s="652"/>
      <c r="AM168" s="652"/>
    </row>
    <row r="169" spans="1:39" hidden="1" x14ac:dyDescent="0.2">
      <c r="A169" s="652"/>
      <c r="B169" s="652"/>
      <c r="C169" s="652"/>
      <c r="D169" s="652"/>
      <c r="E169" s="652"/>
      <c r="F169" s="652"/>
      <c r="G169" s="652"/>
      <c r="H169" s="652"/>
      <c r="I169" s="652"/>
      <c r="J169" s="652"/>
      <c r="K169" s="652"/>
      <c r="L169" s="657"/>
      <c r="M169" s="657"/>
      <c r="N169" s="657"/>
      <c r="O169" s="652"/>
      <c r="P169" s="652"/>
      <c r="Q169" s="652"/>
      <c r="R169" s="652"/>
      <c r="S169" s="652"/>
      <c r="T169" s="657"/>
      <c r="U169" s="657"/>
      <c r="V169" s="657"/>
      <c r="W169" s="652"/>
      <c r="X169" s="652"/>
      <c r="Y169" s="652"/>
      <c r="Z169" s="652"/>
      <c r="AA169" s="652"/>
      <c r="AB169" s="652"/>
      <c r="AC169" s="652"/>
      <c r="AD169" s="652"/>
      <c r="AE169" s="652"/>
      <c r="AF169" s="652"/>
      <c r="AG169" s="652"/>
      <c r="AH169" s="652"/>
      <c r="AI169" s="652"/>
      <c r="AJ169" s="652"/>
      <c r="AK169" s="652"/>
      <c r="AL169" s="652"/>
      <c r="AM169" s="652"/>
    </row>
    <row r="170" spans="1:39" hidden="1" x14ac:dyDescent="0.2">
      <c r="A170" s="652"/>
      <c r="B170" s="652"/>
      <c r="C170" s="652"/>
      <c r="D170" s="652"/>
      <c r="E170" s="652"/>
      <c r="F170" s="652"/>
      <c r="G170" s="652"/>
      <c r="H170" s="652"/>
      <c r="I170" s="652"/>
      <c r="J170" s="652"/>
      <c r="K170" s="652"/>
      <c r="L170" s="657"/>
      <c r="M170" s="657"/>
      <c r="N170" s="657"/>
      <c r="O170" s="652"/>
      <c r="P170" s="652"/>
      <c r="Q170" s="652"/>
      <c r="R170" s="652"/>
      <c r="S170" s="652"/>
      <c r="T170" s="657"/>
      <c r="U170" s="657"/>
      <c r="V170" s="657"/>
      <c r="W170" s="652"/>
      <c r="X170" s="652"/>
      <c r="Y170" s="652"/>
      <c r="Z170" s="652"/>
      <c r="AA170" s="652"/>
      <c r="AB170" s="652"/>
      <c r="AC170" s="652"/>
      <c r="AD170" s="652"/>
      <c r="AE170" s="652"/>
      <c r="AF170" s="652"/>
      <c r="AG170" s="652"/>
      <c r="AH170" s="652"/>
      <c r="AI170" s="652"/>
      <c r="AJ170" s="652"/>
      <c r="AK170" s="652"/>
      <c r="AL170" s="652"/>
      <c r="AM170" s="652"/>
    </row>
    <row r="171" spans="1:39" hidden="1" x14ac:dyDescent="0.2">
      <c r="A171" s="652"/>
      <c r="B171" s="652"/>
      <c r="C171" s="652"/>
      <c r="D171" s="652"/>
      <c r="E171" s="652"/>
      <c r="F171" s="652"/>
      <c r="G171" s="652"/>
      <c r="H171" s="652"/>
      <c r="I171" s="652"/>
      <c r="J171" s="652"/>
      <c r="K171" s="652"/>
      <c r="L171" s="657"/>
      <c r="M171" s="657"/>
      <c r="N171" s="657"/>
      <c r="O171" s="652"/>
      <c r="P171" s="652"/>
      <c r="Q171" s="652"/>
      <c r="R171" s="652"/>
      <c r="S171" s="652"/>
      <c r="T171" s="657"/>
      <c r="U171" s="657"/>
      <c r="V171" s="657"/>
      <c r="W171" s="652"/>
      <c r="X171" s="652"/>
      <c r="Y171" s="652"/>
      <c r="Z171" s="652"/>
      <c r="AA171" s="652"/>
      <c r="AB171" s="652"/>
      <c r="AC171" s="652"/>
      <c r="AD171" s="652"/>
      <c r="AE171" s="652"/>
      <c r="AF171" s="652"/>
      <c r="AG171" s="652"/>
      <c r="AH171" s="652"/>
      <c r="AI171" s="652"/>
      <c r="AJ171" s="652"/>
      <c r="AK171" s="652"/>
      <c r="AL171" s="652"/>
      <c r="AM171" s="652"/>
    </row>
    <row r="172" spans="1:39" hidden="1" x14ac:dyDescent="0.2">
      <c r="A172" s="652"/>
      <c r="B172" s="652"/>
      <c r="C172" s="652"/>
      <c r="D172" s="652"/>
      <c r="E172" s="652"/>
      <c r="F172" s="652"/>
      <c r="G172" s="652"/>
      <c r="H172" s="652"/>
      <c r="I172" s="652"/>
      <c r="J172" s="652"/>
      <c r="K172" s="652"/>
      <c r="L172" s="657"/>
      <c r="M172" s="657"/>
      <c r="N172" s="657"/>
      <c r="O172" s="652"/>
      <c r="P172" s="652"/>
      <c r="Q172" s="652"/>
      <c r="R172" s="652"/>
      <c r="S172" s="652"/>
      <c r="T172" s="657"/>
      <c r="U172" s="657"/>
      <c r="V172" s="657"/>
      <c r="W172" s="652"/>
      <c r="X172" s="652"/>
      <c r="Y172" s="652"/>
      <c r="Z172" s="652"/>
      <c r="AA172" s="652"/>
      <c r="AB172" s="652"/>
      <c r="AC172" s="652"/>
      <c r="AD172" s="652"/>
      <c r="AE172" s="652"/>
      <c r="AF172" s="652"/>
      <c r="AG172" s="652"/>
      <c r="AH172" s="652"/>
      <c r="AI172" s="652"/>
      <c r="AJ172" s="652"/>
      <c r="AK172" s="652"/>
      <c r="AL172" s="652"/>
      <c r="AM172" s="652"/>
    </row>
    <row r="173" spans="1:39" hidden="1" x14ac:dyDescent="0.2">
      <c r="A173" s="652"/>
      <c r="B173" s="652"/>
      <c r="C173" s="652"/>
      <c r="D173" s="652"/>
      <c r="E173" s="652"/>
      <c r="F173" s="652"/>
      <c r="G173" s="652"/>
      <c r="H173" s="652"/>
      <c r="I173" s="652"/>
      <c r="J173" s="652"/>
      <c r="K173" s="652"/>
      <c r="L173" s="657"/>
      <c r="M173" s="657"/>
      <c r="N173" s="657"/>
      <c r="O173" s="652"/>
      <c r="P173" s="652"/>
      <c r="Q173" s="652"/>
      <c r="R173" s="652"/>
      <c r="S173" s="652"/>
      <c r="T173" s="657"/>
      <c r="U173" s="657"/>
      <c r="V173" s="657"/>
      <c r="W173" s="652"/>
      <c r="X173" s="652"/>
      <c r="Y173" s="652"/>
      <c r="Z173" s="652"/>
      <c r="AA173" s="652"/>
      <c r="AB173" s="652"/>
      <c r="AC173" s="652"/>
      <c r="AD173" s="652"/>
      <c r="AE173" s="652"/>
      <c r="AF173" s="652"/>
      <c r="AG173" s="652"/>
      <c r="AH173" s="652"/>
      <c r="AI173" s="652"/>
      <c r="AJ173" s="652"/>
      <c r="AK173" s="652"/>
      <c r="AL173" s="652"/>
      <c r="AM173" s="652"/>
    </row>
    <row r="174" spans="1:39"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652"/>
      <c r="AF174" s="652"/>
      <c r="AG174" s="652"/>
      <c r="AH174" s="652"/>
      <c r="AI174" s="652"/>
      <c r="AJ174" s="652"/>
      <c r="AK174" s="652"/>
      <c r="AL174" s="652"/>
      <c r="AM174" s="652"/>
    </row>
    <row r="175" spans="1:39"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652"/>
      <c r="AF175" s="652"/>
      <c r="AG175" s="652"/>
      <c r="AH175" s="652"/>
      <c r="AI175" s="652"/>
      <c r="AJ175" s="652"/>
      <c r="AK175" s="652"/>
      <c r="AL175" s="652"/>
      <c r="AM175" s="652"/>
    </row>
    <row r="176" spans="1:39"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c r="AI284" s="652"/>
      <c r="AJ284" s="652"/>
      <c r="AK284" s="652"/>
      <c r="AL284" s="652"/>
      <c r="AM284" s="652"/>
    </row>
    <row r="285" spans="1:39"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c r="AH285" s="652"/>
      <c r="AI285" s="652"/>
      <c r="AJ285" s="652"/>
      <c r="AK285" s="652"/>
      <c r="AL285" s="652"/>
      <c r="AM285" s="652"/>
    </row>
    <row r="286" spans="1:39" hidden="1" x14ac:dyDescent="0.2">
      <c r="D286" s="698"/>
      <c r="E286" s="698"/>
      <c r="F286" s="652"/>
      <c r="G286" s="652"/>
      <c r="H286" s="652"/>
      <c r="I286" s="652"/>
      <c r="J286" s="652"/>
      <c r="K286" s="652"/>
      <c r="L286" s="652"/>
      <c r="M286" s="652"/>
      <c r="N286" s="652"/>
      <c r="O286" s="652"/>
      <c r="P286" s="652"/>
      <c r="Q286" s="652"/>
      <c r="R286" s="652"/>
      <c r="S286" s="652"/>
      <c r="T286" s="652"/>
      <c r="U286" s="652"/>
      <c r="V286" s="652"/>
      <c r="W286" s="652"/>
      <c r="X286" s="652"/>
      <c r="Y286" s="652"/>
      <c r="Z286" s="652"/>
      <c r="AA286" s="652"/>
      <c r="AB286" s="652"/>
      <c r="AC286" s="652"/>
      <c r="AD286" s="652"/>
      <c r="AE286" s="652"/>
      <c r="AF286" s="652"/>
      <c r="AG286" s="652"/>
      <c r="AH286" s="652"/>
      <c r="AI286" s="652"/>
      <c r="AJ286" s="652"/>
      <c r="AK286" s="652"/>
      <c r="AL286" s="652"/>
      <c r="AM286" s="652"/>
    </row>
    <row r="287" spans="1:39" hidden="1" x14ac:dyDescent="0.2">
      <c r="D287" s="702"/>
      <c r="E287" s="702"/>
      <c r="F287" s="652"/>
      <c r="G287" s="652"/>
      <c r="H287" s="652"/>
      <c r="I287" s="652"/>
      <c r="J287" s="652"/>
      <c r="K287" s="652"/>
      <c r="L287" s="652"/>
      <c r="M287" s="652"/>
      <c r="N287" s="652"/>
      <c r="O287" s="652"/>
      <c r="P287" s="652"/>
      <c r="Q287" s="652"/>
      <c r="R287" s="652"/>
      <c r="S287" s="652"/>
      <c r="T287" s="652"/>
      <c r="U287" s="652"/>
      <c r="V287" s="652"/>
      <c r="W287" s="652"/>
      <c r="X287" s="652"/>
      <c r="Y287" s="652"/>
      <c r="Z287" s="652"/>
      <c r="AA287" s="652"/>
      <c r="AB287" s="652"/>
      <c r="AC287" s="652"/>
      <c r="AD287" s="652"/>
      <c r="AE287" s="652"/>
      <c r="AF287" s="652"/>
      <c r="AG287" s="652"/>
      <c r="AH287" s="652"/>
      <c r="AI287" s="652"/>
      <c r="AJ287" s="652"/>
      <c r="AK287" s="652"/>
      <c r="AL287" s="652"/>
      <c r="AM287" s="652"/>
    </row>
    <row r="288" spans="1:39" hidden="1" x14ac:dyDescent="0.2">
      <c r="D288" s="653"/>
      <c r="E288" s="653"/>
      <c r="F288" s="652"/>
      <c r="G288" s="652"/>
      <c r="H288" s="652"/>
      <c r="I288" s="652"/>
      <c r="J288" s="652"/>
      <c r="K288" s="652"/>
      <c r="L288" s="652"/>
      <c r="M288" s="652"/>
      <c r="N288" s="652"/>
      <c r="O288" s="652"/>
      <c r="P288" s="652"/>
      <c r="Q288" s="652"/>
      <c r="R288" s="652"/>
      <c r="S288" s="652"/>
      <c r="T288" s="652"/>
      <c r="U288" s="652"/>
      <c r="V288" s="652"/>
      <c r="W288" s="703"/>
      <c r="X288" s="652"/>
      <c r="Y288" s="652"/>
      <c r="Z288" s="652"/>
      <c r="AA288" s="652"/>
      <c r="AB288" s="652"/>
      <c r="AC288" s="652"/>
      <c r="AD288" s="652"/>
      <c r="AE288" s="652"/>
      <c r="AF288" s="652"/>
      <c r="AG288" s="652"/>
      <c r="AH288" s="652"/>
      <c r="AI288" s="652"/>
      <c r="AJ288" s="652"/>
      <c r="AK288" s="652"/>
      <c r="AL288" s="652"/>
      <c r="AM288" s="652"/>
    </row>
    <row r="289" spans="1:39" hidden="1" x14ac:dyDescent="0.2">
      <c r="D289" s="653"/>
      <c r="E289" s="653"/>
      <c r="F289" s="652"/>
      <c r="G289" s="652"/>
      <c r="H289" s="652"/>
      <c r="I289" s="652"/>
      <c r="J289" s="652"/>
      <c r="K289" s="652"/>
      <c r="L289" s="652"/>
      <c r="M289" s="652"/>
      <c r="N289" s="652"/>
      <c r="O289" s="652"/>
      <c r="P289" s="652"/>
      <c r="Q289" s="652"/>
      <c r="R289" s="652"/>
      <c r="S289" s="652"/>
      <c r="T289" s="652"/>
      <c r="U289" s="652"/>
      <c r="V289" s="652"/>
      <c r="W289" s="652"/>
      <c r="X289" s="652"/>
      <c r="Y289" s="652"/>
      <c r="Z289" s="652"/>
      <c r="AA289" s="652"/>
      <c r="AB289" s="652"/>
      <c r="AC289" s="652"/>
      <c r="AD289" s="652"/>
      <c r="AE289" s="652"/>
      <c r="AF289" s="652"/>
      <c r="AG289" s="652"/>
      <c r="AH289" s="652"/>
      <c r="AI289" s="652"/>
      <c r="AJ289" s="652"/>
      <c r="AK289" s="652"/>
      <c r="AL289" s="652"/>
      <c r="AM289" s="652"/>
    </row>
    <row r="290" spans="1:39" hidden="1" x14ac:dyDescent="0.2">
      <c r="D290" s="653"/>
      <c r="E290" s="653"/>
      <c r="F290" s="65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c r="AI290" s="652"/>
      <c r="AJ290" s="652"/>
      <c r="AK290" s="652"/>
      <c r="AL290" s="652"/>
      <c r="AM290" s="652"/>
    </row>
    <row r="291" spans="1:39" hidden="1" x14ac:dyDescent="0.2">
      <c r="D291" s="653"/>
      <c r="E291" s="653"/>
      <c r="F291" s="652"/>
      <c r="G291" s="652"/>
      <c r="H291" s="652"/>
      <c r="I291" s="652"/>
      <c r="J291" s="652"/>
      <c r="K291" s="652"/>
      <c r="L291" s="652"/>
      <c r="M291" s="652"/>
      <c r="N291" s="652"/>
      <c r="O291" s="652"/>
      <c r="P291" s="652"/>
      <c r="Q291" s="652"/>
      <c r="R291" s="652"/>
      <c r="S291" s="652"/>
      <c r="T291" s="652"/>
      <c r="U291" s="652"/>
      <c r="V291" s="652"/>
      <c r="W291" s="652"/>
      <c r="X291" s="652"/>
      <c r="Y291" s="652"/>
      <c r="Z291" s="652"/>
      <c r="AA291" s="652"/>
      <c r="AB291" s="652"/>
      <c r="AC291" s="652"/>
      <c r="AD291" s="652"/>
      <c r="AE291" s="652"/>
      <c r="AF291" s="652"/>
      <c r="AG291" s="652"/>
      <c r="AH291" s="652"/>
      <c r="AI291" s="652"/>
      <c r="AJ291" s="652"/>
      <c r="AK291" s="652"/>
      <c r="AL291" s="652"/>
      <c r="AM291" s="652"/>
    </row>
    <row r="292" spans="1:39" hidden="1" x14ac:dyDescent="0.2">
      <c r="D292" s="653"/>
      <c r="E292" s="653"/>
      <c r="F292" s="65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652"/>
      <c r="AF292" s="652"/>
      <c r="AG292" s="652"/>
      <c r="AH292" s="652"/>
      <c r="AI292" s="652"/>
      <c r="AJ292" s="652"/>
      <c r="AK292" s="652"/>
      <c r="AL292" s="652"/>
      <c r="AM292" s="652"/>
    </row>
    <row r="293" spans="1:39" hidden="1" x14ac:dyDescent="0.2">
      <c r="D293" s="653"/>
      <c r="E293" s="653"/>
      <c r="F293" s="652"/>
      <c r="G293" s="652"/>
      <c r="H293" s="652"/>
      <c r="I293" s="652"/>
      <c r="J293" s="652"/>
      <c r="K293" s="652"/>
      <c r="L293" s="652"/>
      <c r="M293" s="652"/>
      <c r="N293" s="652"/>
      <c r="O293" s="652"/>
      <c r="P293" s="652"/>
      <c r="Q293" s="652"/>
      <c r="R293" s="652"/>
      <c r="S293" s="652"/>
      <c r="T293" s="652"/>
      <c r="U293" s="652"/>
      <c r="V293" s="652"/>
      <c r="W293" s="703"/>
      <c r="X293" s="652"/>
      <c r="Y293" s="652"/>
      <c r="Z293" s="652"/>
      <c r="AA293" s="652"/>
      <c r="AB293" s="652"/>
      <c r="AC293" s="652"/>
      <c r="AD293" s="652"/>
      <c r="AE293" s="652"/>
      <c r="AF293" s="652"/>
      <c r="AG293" s="652"/>
      <c r="AH293" s="652"/>
      <c r="AI293" s="652"/>
      <c r="AJ293" s="652"/>
      <c r="AK293" s="652"/>
      <c r="AL293" s="652"/>
      <c r="AM293" s="652"/>
    </row>
    <row r="294" spans="1:39" hidden="1" x14ac:dyDescent="0.2">
      <c r="D294" s="653"/>
      <c r="E294" s="653"/>
      <c r="F294" s="652"/>
      <c r="G294" s="652"/>
      <c r="H294" s="652"/>
      <c r="I294" s="652"/>
      <c r="J294" s="652"/>
      <c r="K294" s="652"/>
      <c r="L294" s="652"/>
      <c r="M294" s="652"/>
      <c r="N294" s="652"/>
      <c r="O294" s="652"/>
      <c r="P294" s="652"/>
      <c r="Q294" s="652"/>
      <c r="R294" s="652"/>
      <c r="S294" s="652"/>
      <c r="T294" s="652"/>
      <c r="U294" s="652"/>
      <c r="V294" s="652"/>
      <c r="W294" s="652"/>
      <c r="X294" s="652"/>
      <c r="Y294" s="652"/>
      <c r="Z294" s="652"/>
      <c r="AA294" s="652"/>
      <c r="AB294" s="652"/>
      <c r="AC294" s="652"/>
      <c r="AD294" s="652"/>
      <c r="AE294" s="652"/>
      <c r="AF294" s="652"/>
      <c r="AG294" s="652"/>
      <c r="AH294" s="652"/>
      <c r="AI294" s="652"/>
      <c r="AJ294" s="652"/>
      <c r="AK294" s="652"/>
      <c r="AL294" s="652"/>
      <c r="AM294" s="652"/>
    </row>
    <row r="295" spans="1:39" hidden="1" x14ac:dyDescent="0.2">
      <c r="D295" s="653"/>
      <c r="E295" s="653"/>
      <c r="F295" s="652"/>
      <c r="G295" s="652"/>
      <c r="H295" s="652"/>
      <c r="I295" s="65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652"/>
      <c r="AF295" s="652"/>
      <c r="AG295" s="652"/>
      <c r="AH295" s="652"/>
      <c r="AI295" s="652"/>
      <c r="AJ295" s="652"/>
      <c r="AK295" s="652"/>
      <c r="AL295" s="652"/>
      <c r="AM295" s="652"/>
    </row>
    <row r="296" spans="1:39" hidden="1" x14ac:dyDescent="0.2">
      <c r="D296" s="653"/>
      <c r="E296" s="653"/>
      <c r="F296" s="652"/>
      <c r="G296" s="652"/>
      <c r="H296" s="652"/>
      <c r="I296" s="652"/>
      <c r="J296" s="652"/>
      <c r="K296" s="652"/>
      <c r="L296" s="652"/>
      <c r="M296" s="652"/>
      <c r="N296" s="652"/>
      <c r="O296" s="652"/>
      <c r="P296" s="652"/>
      <c r="Q296" s="652"/>
      <c r="R296" s="652"/>
      <c r="S296" s="652"/>
      <c r="T296" s="652"/>
      <c r="U296" s="652"/>
      <c r="V296" s="652"/>
      <c r="W296" s="652"/>
      <c r="X296" s="652"/>
      <c r="Y296" s="652"/>
      <c r="Z296" s="652"/>
      <c r="AA296" s="652"/>
      <c r="AB296" s="652"/>
      <c r="AC296" s="652"/>
      <c r="AD296" s="652"/>
      <c r="AE296" s="652"/>
      <c r="AF296" s="652"/>
      <c r="AG296" s="652"/>
      <c r="AH296" s="652"/>
      <c r="AI296" s="652"/>
      <c r="AJ296" s="652"/>
      <c r="AK296" s="652"/>
      <c r="AL296" s="652"/>
      <c r="AM296" s="652"/>
    </row>
    <row r="297" spans="1:39" hidden="1" x14ac:dyDescent="0.2">
      <c r="D297" s="652"/>
      <c r="E297" s="652"/>
      <c r="F297" s="65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652"/>
      <c r="AF297" s="652"/>
      <c r="AG297" s="652"/>
      <c r="AH297" s="652"/>
      <c r="AI297" s="652"/>
      <c r="AJ297" s="652"/>
      <c r="AK297" s="652"/>
      <c r="AL297" s="652"/>
      <c r="AM297" s="652"/>
    </row>
    <row r="299" spans="1:39" x14ac:dyDescent="0.2">
      <c r="A299" s="652"/>
      <c r="B299" s="652"/>
      <c r="C299" s="697" t="s">
        <v>182</v>
      </c>
    </row>
    <row r="300" spans="1:39" x14ac:dyDescent="0.2">
      <c r="A300" s="699">
        <v>1</v>
      </c>
      <c r="B300" s="700" t="str">
        <f t="shared" ref="B300:B310" si="11">IFERROR(INDEX(B$1:B$87,MATCH(A300,A$1:A$87,0)),"")</f>
        <v>Jaan Sepp, Mait Metsla, Oskar Sepp</v>
      </c>
      <c r="C300" s="711">
        <v>40</v>
      </c>
    </row>
    <row r="301" spans="1:39" x14ac:dyDescent="0.2">
      <c r="A301" s="699">
        <v>2</v>
      </c>
      <c r="B301" s="700" t="str">
        <f t="shared" si="11"/>
        <v>Aarne Välja, Janek Tarto, Romek Tarto</v>
      </c>
      <c r="C301" s="711">
        <v>34</v>
      </c>
    </row>
    <row r="302" spans="1:39" x14ac:dyDescent="0.2">
      <c r="A302" s="699">
        <v>3</v>
      </c>
      <c r="B302" s="700" t="str">
        <f t="shared" si="11"/>
        <v>Ivar Viljaste, Kristo Viljaste, Matti Vinni</v>
      </c>
      <c r="C302" s="711">
        <v>30</v>
      </c>
    </row>
    <row r="303" spans="1:39" x14ac:dyDescent="0.2">
      <c r="A303" s="699">
        <v>4</v>
      </c>
      <c r="B303" s="700" t="str">
        <f t="shared" si="11"/>
        <v>Argo Sepp, Karla Purgats, Lemmit Toomra</v>
      </c>
      <c r="C303" s="711">
        <v>26</v>
      </c>
    </row>
    <row r="304" spans="1:39" x14ac:dyDescent="0.2">
      <c r="A304" s="699">
        <v>5</v>
      </c>
      <c r="B304" s="700" t="str">
        <f t="shared" si="11"/>
        <v>Tõnis Anton, Vadim Tihhonjuk, Viktor Fjodorov</v>
      </c>
      <c r="C304" s="711">
        <v>24</v>
      </c>
    </row>
    <row r="305" spans="1:3" ht="25.5" x14ac:dyDescent="0.2">
      <c r="A305" s="699">
        <v>6</v>
      </c>
      <c r="B305" s="700" t="str">
        <f t="shared" si="11"/>
        <v>Johannes Neiland, Kenneth Muusikus, Urmas Randlaine</v>
      </c>
      <c r="C305" s="711">
        <v>22</v>
      </c>
    </row>
    <row r="306" spans="1:3" ht="25.5" x14ac:dyDescent="0.2">
      <c r="A306" s="699">
        <v>7</v>
      </c>
      <c r="B306" s="700" t="str">
        <f t="shared" si="11"/>
        <v>Andrei Grintšak, Oksana Rõndenkova, Oleg Rõndenkov</v>
      </c>
      <c r="C306" s="711">
        <v>20</v>
      </c>
    </row>
    <row r="307" spans="1:3" x14ac:dyDescent="0.2">
      <c r="A307" s="699">
        <v>8</v>
      </c>
      <c r="B307" s="700" t="str">
        <f t="shared" si="11"/>
        <v>Boriss Klubov, Elmo Lageda, Tõnu Piik</v>
      </c>
      <c r="C307" s="711">
        <v>18</v>
      </c>
    </row>
    <row r="308" spans="1:3" x14ac:dyDescent="0.2">
      <c r="A308" s="699">
        <v>9</v>
      </c>
      <c r="B308" s="700" t="str">
        <f t="shared" si="11"/>
        <v>Andres Veski, Meelis Luud, Svetlana Veski</v>
      </c>
      <c r="C308" s="711">
        <v>16</v>
      </c>
    </row>
    <row r="309" spans="1:3" ht="25.5" x14ac:dyDescent="0.2">
      <c r="A309" s="699">
        <v>10</v>
      </c>
      <c r="B309" s="700" t="str">
        <f t="shared" si="11"/>
        <v>Liidia Põllu, Tõnu Kapper, Vladimir Ogneštšikov</v>
      </c>
      <c r="C309" s="701">
        <v>14</v>
      </c>
    </row>
    <row r="310" spans="1:3" x14ac:dyDescent="0.2">
      <c r="A310" s="699">
        <v>11</v>
      </c>
      <c r="B310" s="700" t="str">
        <f t="shared" si="11"/>
        <v>Enn Tokman, Illar Tõnurist, Tarmo Bombe</v>
      </c>
      <c r="C310" s="701">
        <v>12</v>
      </c>
    </row>
  </sheetData>
  <conditionalFormatting sqref="C8:C18">
    <cfRule type="expression" dxfId="837" priority="23">
      <formula>IF($C8&gt;$E8,TRUE)</formula>
    </cfRule>
  </conditionalFormatting>
  <conditionalFormatting sqref="E8:E18">
    <cfRule type="expression" dxfId="836" priority="24">
      <formula>IF($C8&lt;$E8,TRUE)</formula>
    </cfRule>
  </conditionalFormatting>
  <conditionalFormatting sqref="K8:K18">
    <cfRule type="expression" dxfId="835" priority="31">
      <formula>IF($K8&gt;$M8,TRUE)</formula>
    </cfRule>
  </conditionalFormatting>
  <conditionalFormatting sqref="M8:M18">
    <cfRule type="expression" dxfId="834" priority="32">
      <formula>IF($K8&lt;$M8,TRUE)</formula>
    </cfRule>
  </conditionalFormatting>
  <conditionalFormatting sqref="O8:O18">
    <cfRule type="expression" dxfId="833" priority="35">
      <formula>IF($O8&gt;$Q8,TRUE)</formula>
    </cfRule>
  </conditionalFormatting>
  <conditionalFormatting sqref="Q8:Q18">
    <cfRule type="expression" dxfId="832" priority="36">
      <formula>IF($O8&lt;$Q8,TRUE)</formula>
    </cfRule>
  </conditionalFormatting>
  <conditionalFormatting sqref="S8:S18">
    <cfRule type="expression" dxfId="831" priority="39">
      <formula>IF($S8&gt;$U8,TRUE)</formula>
    </cfRule>
  </conditionalFormatting>
  <conditionalFormatting sqref="U8:U18">
    <cfRule type="expression" dxfId="830" priority="40">
      <formula>IF($S8&lt;$U8,TRUE)</formula>
    </cfRule>
  </conditionalFormatting>
  <conditionalFormatting sqref="G8:G18">
    <cfRule type="expression" dxfId="829" priority="27">
      <formula>IF($G8&gt;$I8,TRUE)</formula>
    </cfRule>
  </conditionalFormatting>
  <conditionalFormatting sqref="I8:I18">
    <cfRule type="expression" dxfId="828" priority="28">
      <formula>IF($G8&lt;$I8,TRUE)</formula>
    </cfRule>
  </conditionalFormatting>
  <conditionalFormatting sqref="F8:F18">
    <cfRule type="containsText" dxfId="827" priority="14" operator="containsText" text="vaba voor">
      <formula>NOT(ISERROR(SEARCH("vaba voor",F8)))</formula>
    </cfRule>
  </conditionalFormatting>
  <conditionalFormatting sqref="N8:N18">
    <cfRule type="containsText" dxfId="826" priority="12" operator="containsText" text="vaba voor">
      <formula>NOT(ISERROR(SEARCH("vaba voor",N8)))</formula>
    </cfRule>
  </conditionalFormatting>
  <conditionalFormatting sqref="R8:R18">
    <cfRule type="containsText" dxfId="825" priority="15" operator="containsText" text="vaba voor">
      <formula>NOT(ISERROR(SEARCH("vaba voor",R8)))</formula>
    </cfRule>
  </conditionalFormatting>
  <conditionalFormatting sqref="V8:V18">
    <cfRule type="containsText" dxfId="824" priority="11" operator="containsText" text="vaba voor">
      <formula>NOT(ISERROR(SEARCH("vaba voor",V8)))</formula>
    </cfRule>
  </conditionalFormatting>
  <conditionalFormatting sqref="J8:J18">
    <cfRule type="containsText" dxfId="823" priority="13" operator="containsText" text="vaba voor">
      <formula>NOT(ISERROR(SEARCH("vaba voor",J8)))</formula>
    </cfRule>
  </conditionalFormatting>
  <conditionalFormatting sqref="C8:F18">
    <cfRule type="expression" dxfId="822" priority="19">
      <formula>IF(AND(ISNUMBER($C8),$C8=$E8),TRUE)</formula>
    </cfRule>
    <cfRule type="expression" dxfId="821" priority="21">
      <formula>IF($C8&gt;$E8,TRUE)</formula>
    </cfRule>
    <cfRule type="expression" dxfId="820" priority="22">
      <formula>IF($C8&lt;$E8,TRUE)</formula>
    </cfRule>
  </conditionalFormatting>
  <conditionalFormatting sqref="G8:J18">
    <cfRule type="expression" dxfId="819" priority="20">
      <formula>IF(AND(ISNUMBER($G8),$G8=$I8),TRUE)</formula>
    </cfRule>
    <cfRule type="expression" dxfId="818" priority="25">
      <formula>IF($G8&gt;$I8,TRUE)</formula>
    </cfRule>
    <cfRule type="expression" dxfId="817" priority="26">
      <formula>IF($G8&lt;$I8,TRUE)</formula>
    </cfRule>
  </conditionalFormatting>
  <conditionalFormatting sqref="K8:N18">
    <cfRule type="expression" dxfId="816" priority="18">
      <formula>IF(AND(ISNUMBER($K8),$K8=$M8),TRUE)</formula>
    </cfRule>
    <cfRule type="expression" dxfId="815" priority="29">
      <formula>IF($K8&gt;$M8,TRUE)</formula>
    </cfRule>
    <cfRule type="expression" dxfId="814" priority="30">
      <formula>IF($K8&lt;$M8,TRUE)</formula>
    </cfRule>
  </conditionalFormatting>
  <conditionalFormatting sqref="O8:R18">
    <cfRule type="expression" dxfId="813" priority="17">
      <formula>IF(AND(ISNUMBER($O8),$O8=$Q8),TRUE)</formula>
    </cfRule>
    <cfRule type="expression" dxfId="812" priority="33">
      <formula>IF($O8&gt;$Q8,TRUE)</formula>
    </cfRule>
    <cfRule type="expression" dxfId="811" priority="34">
      <formula>IF($O8&lt;$Q8,TRUE)</formula>
    </cfRule>
  </conditionalFormatting>
  <conditionalFormatting sqref="S8:V18">
    <cfRule type="expression" dxfId="810" priority="16">
      <formula>IF(AND(ISNUMBER($S8),$S8=$U8),TRUE)</formula>
    </cfRule>
    <cfRule type="expression" dxfId="809" priority="37">
      <formula>IF($S8&gt;$U8,TRUE)</formula>
    </cfRule>
    <cfRule type="expression" dxfId="808" priority="38">
      <formula>IF($S8&lt;$U8,TRUE)</formula>
    </cfRule>
  </conditionalFormatting>
  <conditionalFormatting sqref="C8:C18 G8:G18 K8:K18 O8:O18 S8:S18">
    <cfRule type="expression" dxfId="807" priority="10">
      <formula>AND(C8=0,E8=13)</formula>
    </cfRule>
  </conditionalFormatting>
  <conditionalFormatting sqref="AI8:AI18">
    <cfRule type="expression" dxfId="806" priority="1">
      <formula>AND(AJ8="",FIND(",",AI8))</formula>
    </cfRule>
    <cfRule type="expression" dxfId="805" priority="6">
      <formula>AND(AJ8="",COUNTIF(AI8,"*,*")=0)</formula>
    </cfRule>
  </conditionalFormatting>
  <conditionalFormatting sqref="AK8:AK18">
    <cfRule type="expression" dxfId="804" priority="5">
      <formula>AND(AL8="",COUNTIF(AK8,"*,*")=0)</formula>
    </cfRule>
  </conditionalFormatting>
  <conditionalFormatting sqref="AM8:AM18">
    <cfRule type="expression" dxfId="803" priority="4">
      <formula>AND(AN8="",COUNTIF(AM8,"*,*")=0)</formula>
    </cfRule>
  </conditionalFormatting>
  <conditionalFormatting sqref="AG8:AG18">
    <cfRule type="expression" dxfId="802" priority="3">
      <formula>AND(AH8="",COUNTIF(AG8,"*,*")=0)</formula>
    </cfRule>
  </conditionalFormatting>
  <conditionalFormatting sqref="AE8:AE18">
    <cfRule type="expression" dxfId="801" priority="2">
      <formula>AND(AF8="",COUNTIF(AE8,"*,*")=0)</formula>
    </cfRule>
  </conditionalFormatting>
  <conditionalFormatting sqref="A8:A18">
    <cfRule type="duplicateValues" dxfId="800" priority="433"/>
  </conditionalFormatting>
  <conditionalFormatting sqref="A300:A310">
    <cfRule type="duplicateValues" dxfId="799" priority="434"/>
  </conditionalFormatting>
  <conditionalFormatting sqref="B300:B310">
    <cfRule type="expression" dxfId="798" priority="440">
      <formula>A300=3</formula>
    </cfRule>
    <cfRule type="expression" dxfId="797" priority="441">
      <formula>A300=2</formula>
    </cfRule>
    <cfRule type="expression" dxfId="796" priority="442">
      <formula>A300=1</formula>
    </cfRule>
    <cfRule type="containsBlanks" dxfId="795" priority="443">
      <formula>LEN(TRIM(B300))=0</formula>
    </cfRule>
    <cfRule type="duplicateValues" dxfId="794" priority="444"/>
  </conditionalFormatting>
  <pageMargins left="0.51181102362204722" right="0.27559055118110237" top="0.78740157480314965" bottom="0.39370078740157483" header="0.59055118110236227" footer="0"/>
  <pageSetup paperSize="9" fitToHeight="0" orientation="landscape" r:id="rId1"/>
  <headerFooter>
    <oddHeader>&amp;R&amp;9Page &amp;P of &amp;N</oddHead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N305"/>
  <sheetViews>
    <sheetView showGridLines="0" showRowColHeaders="0" zoomScaleNormal="100" workbookViewId="0">
      <pane ySplit="2" topLeftCell="A3" activePane="bottomLeft" state="frozen"/>
      <selection pane="bottomLeft" activeCell="H1" sqref="H1"/>
    </sheetView>
  </sheetViews>
  <sheetFormatPr defaultRowHeight="12.75" x14ac:dyDescent="0.2"/>
  <cols>
    <col min="1" max="1" width="3.28515625" customWidth="1"/>
    <col min="2" max="2" width="48.28515625" bestFit="1" customWidth="1"/>
    <col min="3" max="10" width="6.7109375" customWidth="1"/>
    <col min="11" max="12" width="4.7109375" customWidth="1"/>
    <col min="13" max="13" width="5" customWidth="1"/>
    <col min="14" max="14" width="4.7109375" customWidth="1"/>
    <col min="15" max="15" width="5.5703125" hidden="1" customWidth="1"/>
    <col min="16" max="16" width="4.7109375" hidden="1" customWidth="1"/>
    <col min="17" max="17" width="5.28515625" hidden="1" customWidth="1"/>
    <col min="18" max="18" width="2.28515625" hidden="1" customWidth="1"/>
    <col min="19" max="19" width="7" hidden="1" customWidth="1"/>
    <col min="20" max="20" width="11.5703125" hidden="1" customWidth="1"/>
    <col min="21" max="21" width="5.28515625" hidden="1" customWidth="1"/>
    <col min="30" max="30" width="0" hidden="1" customWidth="1"/>
    <col min="31" max="31" width="14" hidden="1" customWidth="1"/>
    <col min="32" max="32" width="0" hidden="1" customWidth="1"/>
    <col min="33" max="33" width="17.28515625" hidden="1" customWidth="1"/>
    <col min="34" max="34" width="0" hidden="1" customWidth="1"/>
    <col min="35" max="35" width="18.7109375" hidden="1" customWidth="1"/>
    <col min="36" max="36" width="0" hidden="1" customWidth="1"/>
    <col min="37" max="37" width="17.28515625" hidden="1" customWidth="1"/>
    <col min="38" max="38" width="0" hidden="1" customWidth="1"/>
    <col min="39" max="39" width="13.85546875" hidden="1" customWidth="1"/>
    <col min="40" max="40" width="0" hidden="1" customWidth="1"/>
  </cols>
  <sheetData>
    <row r="1" spans="1:40" x14ac:dyDescent="0.2">
      <c r="A1" s="742" t="str">
        <f>UPPER((Kalend!E33)&amp;" - "&amp;(Kalend!C33)&amp;" - "&amp;(Kalend!D33))</f>
        <v>10 - K-JÄRVE 18. MV - TRIO</v>
      </c>
      <c r="D1" s="410" t="str">
        <f>HYPERLINK("#Kalend!I1","Kalender")</f>
        <v>Kalender</v>
      </c>
      <c r="E1" s="410"/>
      <c r="F1" s="654" t="str">
        <f>HYPERLINK("#V!AB1","Reiting")</f>
        <v>Reiting</v>
      </c>
      <c r="G1" s="655"/>
      <c r="L1" s="656"/>
      <c r="O1" s="511"/>
      <c r="P1" s="511"/>
      <c r="Q1" s="836" t="s">
        <v>181</v>
      </c>
      <c r="R1" s="511"/>
      <c r="S1" s="511"/>
      <c r="T1" s="511"/>
      <c r="U1" s="511"/>
      <c r="AD1" s="417" t="s">
        <v>181</v>
      </c>
      <c r="AE1" s="822"/>
      <c r="AF1" s="822"/>
      <c r="AG1" s="822"/>
      <c r="AH1" s="822"/>
      <c r="AI1" s="822"/>
      <c r="AJ1" s="822"/>
      <c r="AK1" s="822"/>
      <c r="AL1" s="822"/>
      <c r="AM1" s="822"/>
      <c r="AN1" s="822"/>
    </row>
    <row r="2" spans="1:40" x14ac:dyDescent="0.2">
      <c r="A2" s="659" t="str">
        <f>"Toimumisaeg: "&amp;(Kalend!A33)&amp;" kell "&amp;(Kalend!B33)</f>
        <v>Toimumisaeg: N, 01.08.2019 kell 18:00</v>
      </c>
      <c r="AD2" s="659"/>
      <c r="AE2" s="659"/>
      <c r="AF2" s="659"/>
      <c r="AG2" s="659"/>
      <c r="AH2" s="659"/>
      <c r="AI2" s="889"/>
      <c r="AJ2" s="659"/>
      <c r="AK2" s="659"/>
      <c r="AL2" s="659"/>
      <c r="AM2" s="659"/>
      <c r="AN2" s="659"/>
    </row>
    <row r="3" spans="1:40" x14ac:dyDescent="0.2">
      <c r="A3" s="659" t="str">
        <f>"Toimumiskoht: "&amp;(Kalend!F33)</f>
        <v>Toimumiskoht: K-Järve spordihoone</v>
      </c>
      <c r="AD3" s="823" t="s">
        <v>362</v>
      </c>
      <c r="AF3" s="659"/>
      <c r="AG3" s="659"/>
      <c r="AH3" s="659"/>
      <c r="AI3" s="659"/>
      <c r="AJ3" s="659"/>
      <c r="AK3" s="659"/>
      <c r="AL3" s="659"/>
      <c r="AM3" s="659"/>
      <c r="AN3" s="659"/>
    </row>
    <row r="4" spans="1:40" x14ac:dyDescent="0.2">
      <c r="A4" s="659" t="str">
        <f>"Korraldaja: "&amp;(Kalend!G33)</f>
        <v>Korraldaja: Ivar Viljaste</v>
      </c>
      <c r="AD4" s="824" t="s">
        <v>19</v>
      </c>
      <c r="AE4" s="825"/>
      <c r="AF4" s="825"/>
      <c r="AG4" s="825"/>
      <c r="AH4" s="825"/>
      <c r="AI4" s="825"/>
      <c r="AJ4" s="825"/>
      <c r="AK4" s="825"/>
      <c r="AL4" s="825"/>
      <c r="AM4" s="825"/>
      <c r="AN4" s="825"/>
    </row>
    <row r="5" spans="1:40" x14ac:dyDescent="0.2">
      <c r="AD5" s="824" t="s">
        <v>364</v>
      </c>
      <c r="AE5" s="826" t="s">
        <v>365</v>
      </c>
      <c r="AF5" s="826"/>
      <c r="AG5" s="826" t="s">
        <v>367</v>
      </c>
      <c r="AH5" s="826"/>
      <c r="AI5" s="826" t="s">
        <v>368</v>
      </c>
      <c r="AJ5" s="676"/>
      <c r="AK5" s="676" t="s">
        <v>515</v>
      </c>
      <c r="AL5" s="676"/>
      <c r="AM5" s="676" t="s">
        <v>516</v>
      </c>
      <c r="AN5" s="890"/>
    </row>
    <row r="6" spans="1:40" x14ac:dyDescent="0.2">
      <c r="A6" s="837"/>
      <c r="B6" s="838"/>
      <c r="C6" s="839">
        <v>1</v>
      </c>
      <c r="D6" s="839">
        <v>2</v>
      </c>
      <c r="E6" s="839">
        <v>3</v>
      </c>
      <c r="F6" s="839">
        <v>4</v>
      </c>
      <c r="G6" s="839">
        <v>5</v>
      </c>
      <c r="H6" s="839">
        <v>6</v>
      </c>
      <c r="I6" s="839" t="s">
        <v>482</v>
      </c>
      <c r="J6" s="840" t="s">
        <v>454</v>
      </c>
      <c r="K6" s="841" t="s">
        <v>483</v>
      </c>
      <c r="L6" s="842" t="s">
        <v>484</v>
      </c>
      <c r="M6" s="843" t="s">
        <v>485</v>
      </c>
      <c r="N6" s="843" t="s">
        <v>486</v>
      </c>
      <c r="O6" s="844" t="s">
        <v>487</v>
      </c>
      <c r="P6" s="844" t="s">
        <v>487</v>
      </c>
      <c r="Q6" s="845" t="s">
        <v>488</v>
      </c>
      <c r="R6" s="846" t="s">
        <v>312</v>
      </c>
      <c r="S6" s="846" t="b">
        <f>OR(AND(COUNTA(B7:B12)=3,COUNTA(C7:H12)=6),AND(COUNTA(B7:B12)=4,COUNTA(C7:H12)=12),AND(COUNTA(B7:B12)=5,COUNTA(C7:H12)=20),AND(COUNTA(B7:B12)=6,COUNTA(C7:H12)=30))</f>
        <v>0</v>
      </c>
      <c r="T6" s="847" t="s">
        <v>489</v>
      </c>
      <c r="U6" s="848" t="s">
        <v>490</v>
      </c>
      <c r="AD6" s="824" t="s">
        <v>376</v>
      </c>
      <c r="AE6" s="825"/>
      <c r="AF6" s="825"/>
      <c r="AG6" s="684"/>
      <c r="AH6" s="684"/>
      <c r="AI6" s="684"/>
      <c r="AJ6" s="684"/>
      <c r="AK6" s="684"/>
      <c r="AL6" s="684"/>
      <c r="AM6" s="684"/>
      <c r="AN6" s="684"/>
    </row>
    <row r="7" spans="1:40" x14ac:dyDescent="0.2">
      <c r="A7" s="837">
        <v>1</v>
      </c>
      <c r="B7" s="849" t="s">
        <v>572</v>
      </c>
      <c r="C7" s="850"/>
      <c r="D7" s="852"/>
      <c r="E7" s="852"/>
      <c r="F7" s="852"/>
      <c r="G7" s="852"/>
      <c r="H7" s="852"/>
      <c r="I7" s="853" t="str">
        <f>(IF(D7-C8&gt;0,1)+IF(E7-C9&gt;0,1)+IF(F7-C10&gt;0,1)+IF(G7-C11&gt;0,1)+IF(H7-C12&gt;0,1))&amp;"-"&amp;(IF(D7-C8&lt;0,1)+IF(E7-C9&lt;0,1)+IF(F7-C10&lt;0,1)+IF(G7-C11&lt;0,1)+IF(H7-C12&lt;0,1))</f>
        <v>0-0</v>
      </c>
      <c r="J7" s="852" t="str">
        <f t="shared" ref="J7:J12" si="0">IF(AND(B7&lt;&gt;"",S$6=TRUE),A$6&amp;RANK(T7,T$7:T$12,0)," ")</f>
        <v xml:space="preserve"> </v>
      </c>
      <c r="K7" s="854">
        <f>IF(AND(R7=1,R8=1,D7&gt;C8),1)+IF(AND(R7=1,R9=1,E7&gt;C9),1)+IF(AND(R7=1,R10=1,F7&gt;C10),1)+IF(AND(R7=1,R11=1,G7&gt;C11),1)+IF(AND(R7=1,R12=1,H7&gt;C12),1)+IF(AND(R7=2,R8=2,D7&gt;C8),1)+IF(AND(R7=2,R9=2,E7&gt;C9),1)+IF(AND(R7=2,R10=2,F7&gt;C10),1)+IF(AND(R7=2,R11=2,G7&gt;C11),1)+IF(AND(R7=2,R12=2,H7&gt;C12),1)+IF(AND(R7=3,R8=3,D7&gt;C8),1)+IF(AND(R7=3,R9=3,E7&gt;C9),1)+IF(AND(R7=3,R10=3,F7&gt;C10),1)+IF(AND(R7=3,R11=3,G7&gt;C11),1)+IF(AND(R7=3,R12=3,H7&gt;C12),1)+IF(AND(R7=4,R8=4,D7&gt;C8),1)+IF(AND(R7=4,R9=4,E7&gt;C9),1)+IF(AND(R7=4,R10=4,F7&gt;C10),1)+IF(AND(R7=4,R11=4,G7&gt;C11),1)+IF(AND(R7=4,R12=4,H7&gt;C12),1)</f>
        <v>0</v>
      </c>
      <c r="L7" s="855">
        <f>SUM(AND(U7=U8,D7&gt;C8),AND(U7=U9,E7&gt;C9),AND(U7=U10,F7&gt;C10),AND(U7=U11,G7&gt;C11),AND(U7=U12,H7&gt;C12))</f>
        <v>0</v>
      </c>
      <c r="M7" s="856">
        <f>IF(AND(R7=1,R8=1),D7-C8)+IF(AND(R7=1,R9=1),E7-C9)+IF(AND(R7=1,R10=1),F7-C10)+IF(AND(R7=1,R11=1),G7-C11)+IF(AND(R7=1,R12=1),H7-C12)+IF(AND(R7=2,R8=2),D7-C8)+IF(AND(R7=2,R9=2),E7-C9)+IF(AND(R7=2,R10=2),F7-C10)+IF(AND(R7=2,R11=2),G7-C11)+IF(AND(R7=2,R12=2),H7-C12)+IF(AND(R7=3,R8=3),D7-C8)+IF(AND(R7=3,R9=3),E7-C9)+IF(AND(R7=3,R10=3),F7-C10)+IF(AND(R7=3,R11=3),G7-C11)+IF(AND(R7=3,R12=3),H7-C12)+IF(AND(R7=4,R8=4),D7-C8)+IF(AND(R7=4,R9=4),E7-C9)+IF(AND(R7=4,R10=4),F7-C10)+IF(AND(R7=4,R11=4),G7-C11)+IF(AND(R7=4,R12=4),H7-C12)</f>
        <v>0</v>
      </c>
      <c r="N7" s="857">
        <f>SUM(AND(S7=S8,D7&gt;C8),AND(S7=S9,E7&gt;C9),AND(S7=S10,F7&gt;C10),AND(S7=S11,G7&gt;C11),AND(S7=S12,H7&gt;C12))</f>
        <v>0</v>
      </c>
      <c r="O7" s="858" t="str">
        <f>SUM(C7:H7)&amp;"-"&amp;SUM(C7:C12)</f>
        <v>0-0</v>
      </c>
      <c r="P7" s="859">
        <f>D7+E7+F7+G7+H7-C8-C9-C10-C11-C12</f>
        <v>0</v>
      </c>
      <c r="Q7" s="860" t="str">
        <f t="shared" ref="Q7:Q12" si="1">IFERROR(SUM(C7:H7,C$7:C$12)/SUM(C$7:C$12),"")</f>
        <v/>
      </c>
      <c r="R7" s="861">
        <f t="shared" ref="R7:R12" si="2">VALUE(LEFT(I7,1))</f>
        <v>0</v>
      </c>
      <c r="S7" s="862">
        <f t="shared" ref="S7:S12" si="3">R7*100000+K7*10000+L7*1000+100+M7</f>
        <v>100</v>
      </c>
      <c r="T7" s="863">
        <f t="shared" ref="T7:T12" si="4">S7+N7*0.1+0.01+0.0001*P7</f>
        <v>100.01</v>
      </c>
      <c r="U7" s="864" t="str">
        <f t="shared" ref="U7:U12" si="5">R7&amp;K7</f>
        <v>00</v>
      </c>
      <c r="AD7" s="676">
        <f t="shared" ref="AD7:AD12" ca="1" si="6">SUM(AF7:AN7)</f>
        <v>553</v>
      </c>
      <c r="AE7" s="829" t="str">
        <f t="shared" ref="AE7:AE12" si="7">IFERROR(LEFT($B7,(FIND(",",$B7,1)-1)),"")</f>
        <v>Aigi Orro</v>
      </c>
      <c r="AF7" s="830">
        <f ca="1">IFERROR(INDEX(Reit!$I:$I,MATCH(AE7,Reit!$F:$F,0)),"")</f>
        <v>72</v>
      </c>
      <c r="AG7" s="829" t="str">
        <f t="shared" ref="AG7:AG12" si="8">IFERROR(MID($B7,FIND("^",SUBSTITUTE($B7,", ","^",1))+2,FIND("^",SUBSTITUTE($B7,", ","^",2))-FIND("^",SUBSTITUTE($B7,", ","^",1))-2),"")</f>
        <v>Andres Veski</v>
      </c>
      <c r="AH7" s="830">
        <f ca="1">IFERROR(INDEX(Reit!$I:$I,MATCH(AG7,Reit!$F:$F,0)),"")</f>
        <v>234</v>
      </c>
      <c r="AI7" s="829" t="str">
        <f t="shared" ref="AI7:AI12" si="9">IFERROR(MID($B7,FIND(", ",$B7,FIND(", ",$B7,FIND(", ",$B7))+1)+2,30000),"")</f>
        <v>Kalle Orro, Svetlana Veski</v>
      </c>
      <c r="AJ7" s="830" t="str">
        <f>IFERROR(INDEX(Reit!$I:$I,MATCH(AI7,Reit!$F:$F,0)),"")</f>
        <v/>
      </c>
      <c r="AK7" s="891" t="str">
        <f t="shared" ref="AK7:AK12" si="10">IFERROR(MID($B7,FIND(", ",$B7,FIND(", ",$B7)+1)+2,FIND(", ",$B7,FIND(", ",$B7,FIND(", ",$B7)+1)+1)-FIND(", ",$B7,FIND(", ",$B7)+1)-2),"")</f>
        <v>Kalle Orro</v>
      </c>
      <c r="AL7" s="830">
        <f ca="1">IFERROR(INDEX(Reit!$I:$I,MATCH(AK7,Reit!$F:$F,0)),"")</f>
        <v>87</v>
      </c>
      <c r="AM7" s="829" t="str">
        <f t="shared" ref="AM7:AM12" si="11">IFERROR(MID($B7,FIND(", ",$B7,FIND(", ",$B7,FIND(", ",$B7)+1)+1)+2,30000),"")</f>
        <v>Svetlana Veski</v>
      </c>
      <c r="AN7" s="830">
        <f ca="1">IFERROR(INDEX(Reit!$I:$I,MATCH(AM7,Reit!$F:$F,0)),"")</f>
        <v>160</v>
      </c>
    </row>
    <row r="8" spans="1:40" x14ac:dyDescent="0.2">
      <c r="A8" s="837">
        <v>2</v>
      </c>
      <c r="B8" s="865" t="s">
        <v>558</v>
      </c>
      <c r="C8" s="852"/>
      <c r="D8" s="850"/>
      <c r="E8" s="852"/>
      <c r="F8" s="852"/>
      <c r="G8" s="852"/>
      <c r="H8" s="852"/>
      <c r="I8" s="853" t="str">
        <f>(IF(C8-D7&gt;0,1)+IF(E8-D9&gt;0,1)+IF(F8-D10&gt;0,1)+IF(G8-D11&gt;0,1)+IF(H8-D12&gt;0,1))&amp;"-"&amp;(IF(C8-D7&lt;0,1)+IF(E8-D9&lt;0,1)+IF(F8-D10&lt;0,1)+IF(G8-D11&lt;0,1)+IF(H8-D12&lt;0,1))</f>
        <v>0-0</v>
      </c>
      <c r="J8" s="852" t="str">
        <f t="shared" si="0"/>
        <v xml:space="preserve"> </v>
      </c>
      <c r="K8" s="866">
        <f>IF(AND(R8=1,R7=1,C8&gt;D7),1)+IF(AND(R8=1,R9=1,E8&gt;D9),1)+IF(AND(R8=1,R10=1,F8&gt;D10),1)+IF(AND(R8=1,R11=1,G8&gt;D11),1)+IF(AND(R8=1,R12=1,H8&gt;D12),1)+IF(AND(R8=2,R7=2,C8&gt;D7),1)+IF(AND(R8=2,R9=2,E8&gt;D9),1)+IF(AND(R8=2,R10=2,F8&gt;D10),1)+IF(AND(R8=2,R11=2,G8&gt;D11),1)+IF(AND(R8=2,R12=2,H8&gt;D12),1)+IF(AND(R8=3,R7=3,C8&gt;D7),1)+IF(AND(R8=3,R9=3,E8&gt;D9),1)+IF(AND(R8=3,R10=3,F8&gt;D10),1)+IF(AND(R8=3,R11=3,G8&gt;D11),1)+IF(AND(R8=3,R12=3,H8&gt;D12),1)+IF(AND(R8=4,R7=4,C8&gt;D7),1)+IF(AND(R8=4,R9=4,E8&gt;D9),1)+IF(AND(R8=4,R10=4,F8&gt;D10),1)+IF(AND(R8=4,R11=4,G8&gt;D11),1)+IF(AND(R8=4,R12=4,H8&gt;D12),1)</f>
        <v>0</v>
      </c>
      <c r="L8" s="857">
        <f>SUM(AND(U8=U7,C8&gt;D7),AND(U8=U9,E8&gt;D9),AND(U8=U10,F8&gt;D10),AND(U8=U11,G8&gt;D11),AND(U8=U12,H8&gt;D12))</f>
        <v>0</v>
      </c>
      <c r="M8" s="867">
        <f>IF(AND(R8=1,R7=1),C8-D7)+IF(AND(R8=1,R9=1),E8-D9)+IF(AND(R8=1,R10=1),F8-D10)+IF(AND(R8=1,R11=1),G8-D11)+IF(AND(R8=1,R12=1),H8-D12)+IF(AND(R8=2,R7=2),C8-D7)+IF(AND(R8=2,R9=2),E8-D9)+IF(AND(R8=2,R10=2),F8-D10)+IF(AND(R8=2,R11=2),G8-D11)+IF(AND(R8=2,R12=2),H8-D12)+IF(AND(R8=3,R7=3),C8-D7)+IF(AND(R8=3,R9=3),E8-D9)+IF(AND(R8=3,R10=3),F8-D10)+IF(AND(R8=3,R11=3),G8-D11)+IF(AND(R8=3,R12=3),H8-D12)+IF(AND(R8=4,R7=4),C8-D7)+IF(AND(R8=4,R9=4),E8-D9)+IF(AND(R8=4,R10=4),F8-D10)+IF(AND(R8=4,R11=4),G8-D11)+IF(AND(R8=4,R12=4),H8-D12)</f>
        <v>0</v>
      </c>
      <c r="N8" s="857">
        <f>SUM(AND(S8=S7,C8&gt;D7),AND(S8=S9,E8&gt;D9),AND(S8=S10,F8&gt;D10),AND(S8=S11,G8&gt;D11),AND(S8=S12,H8&gt;D12))</f>
        <v>0</v>
      </c>
      <c r="O8" s="858" t="str">
        <f>SUM(C8:H8)&amp;"-"&amp;SUM(D7:D12)</f>
        <v>0-0</v>
      </c>
      <c r="P8" s="859">
        <f>C8+E8+F8+G8+H8-D7-D9-D10-D11-D12</f>
        <v>0</v>
      </c>
      <c r="Q8" s="860" t="str">
        <f t="shared" si="1"/>
        <v/>
      </c>
      <c r="R8" s="868">
        <f t="shared" si="2"/>
        <v>0</v>
      </c>
      <c r="S8" s="862">
        <f t="shared" si="3"/>
        <v>100</v>
      </c>
      <c r="T8" s="863">
        <f t="shared" si="4"/>
        <v>100.01</v>
      </c>
      <c r="U8" s="864" t="str">
        <f t="shared" si="5"/>
        <v>00</v>
      </c>
      <c r="AD8" s="676">
        <f t="shared" ca="1" si="6"/>
        <v>778</v>
      </c>
      <c r="AE8" s="829" t="str">
        <f t="shared" si="7"/>
        <v>Ivar Viljaste</v>
      </c>
      <c r="AF8" s="830">
        <f ca="1">IFERROR(INDEX(Reit!$I:$I,MATCH(AE8,Reit!$F:$F,0)),"")</f>
        <v>364</v>
      </c>
      <c r="AG8" s="829" t="str">
        <f t="shared" si="8"/>
        <v>Kristo Viljaste</v>
      </c>
      <c r="AH8" s="830">
        <f ca="1">IFERROR(INDEX(Reit!$I:$I,MATCH(AG8,Reit!$F:$F,0)),"")</f>
        <v>120</v>
      </c>
      <c r="AI8" s="829" t="str">
        <f t="shared" si="9"/>
        <v>Matti Vinni</v>
      </c>
      <c r="AJ8" s="830">
        <f ca="1">IFERROR(INDEX(Reit!$I:$I,MATCH(AI8,Reit!$F:$F,0)),"")</f>
        <v>294</v>
      </c>
      <c r="AK8" s="891" t="str">
        <f t="shared" si="10"/>
        <v/>
      </c>
      <c r="AL8" s="830" t="str">
        <f>IFERROR(INDEX(Reit!$I:$I,MATCH(AK8,Reit!$F:$F,0)),"")</f>
        <v/>
      </c>
      <c r="AM8" s="829" t="str">
        <f t="shared" si="11"/>
        <v/>
      </c>
      <c r="AN8" s="830" t="str">
        <f>IFERROR(INDEX(Reit!$I:$I,MATCH(AM8,Reit!$F:$F,0)),"")</f>
        <v/>
      </c>
    </row>
    <row r="9" spans="1:40" x14ac:dyDescent="0.2">
      <c r="A9" s="837">
        <v>3</v>
      </c>
      <c r="B9" s="865" t="s">
        <v>492</v>
      </c>
      <c r="C9" s="852"/>
      <c r="D9" s="869"/>
      <c r="E9" s="850"/>
      <c r="F9" s="852"/>
      <c r="G9" s="852"/>
      <c r="H9" s="852"/>
      <c r="I9" s="853" t="str">
        <f>(IF(C9-E7&gt;0,1)+IF(D9-E8&gt;0,1)+IF(F9-E10&gt;0,1)+IF(G9-E11&gt;0,1)+IF(H9-E12&gt;0,1))&amp;"-"&amp;(IF(C9-E7&lt;0,1)+IF(D9-E8&lt;0,1)+IF(F9-E10&lt;0,1)+IF(G9-E11&lt;0,1)+IF(H9-E12&lt;0,1))</f>
        <v>0-0</v>
      </c>
      <c r="J9" s="852" t="str">
        <f t="shared" si="0"/>
        <v xml:space="preserve"> </v>
      </c>
      <c r="K9" s="866">
        <f>IF(AND(R9=1,R7=1,C9&gt;E7),1)+IF(AND(R9=1,R8=1,D9&gt;E8),1)+IF(AND(R9=1,R10=1,F9&gt;E10),1)+IF(AND(R9=1,R11=1,G9&gt;E11),1)+IF(AND(R9=1,R12=1,H9&gt;E12),1)+IF(AND(R9=2,R7=2,C9&gt;E7),1)+IF(AND(R9=2,R8=2,D9&gt;E8),1)+IF(AND(R9=2,R10=2,F9&gt;E10),1)+IF(AND(R9=2,R11=2,G9&gt;E11),1)+IF(AND(R9=2,R12=2,H9&gt;E12),1)+IF(AND(R9=3,R7=3,C9&gt;E7),1)+IF(AND(R9=3,R8=3,D9&gt;E8),1)+IF(AND(R9=3,R10=3,F9&gt;E10),1)+IF(AND(R9=3,R11=3,G9&gt;E11),1)+IF(AND(R9=3,R12=3,H9&gt;E12),1)+IF(AND(R9=4,R7=4,C9&gt;E7),1)+IF(AND(R9=4,R8=4,D9&gt;E8),1)+IF(AND(R9=4,R10=4,F9&gt;E10),1)+IF(AND(R9=4,R11=4,G9&gt;E11),1)+IF(AND(R9=4,R12=4,H9&gt;E12),1)</f>
        <v>0</v>
      </c>
      <c r="L9" s="857">
        <f>SUM(AND(U9=U7,C9&gt;E7),AND(U9=U8,D9&gt;E8),AND(U9=U10,F9&gt;E10),AND(U9=U11,G9&gt;E11),AND(U9=U12,H9&gt;E12))</f>
        <v>0</v>
      </c>
      <c r="M9" s="867">
        <f>IF(AND(R9=1,R7=1),C9-E7)+IF(AND(R9=1,R8=1),D9-E8)+IF(AND(R9=1,R10=1),F9-E10)+IF(AND(R9=1,R11=1),G9-E11)+IF(AND(R9=1,R12=1),H9-E12)+IF(AND(R9=2,R7=2),C9-E7)+IF(AND(R9=2,R8=2),D9-E8)+IF(AND(R9=2,R10=2),F9-E10)+IF(AND(R9=2,R11=2),G9-E11)+IF(AND(R9=2,R12=2),H9-E12)+IF(AND(R9=3,R7=3),C9-E7)+IF(AND(R9=3,R8=3),D9-E8)+IF(AND(R9=3,R10=3),F9-E10)+IF(AND(R9=3,R11=3),G9-E11)+IF(AND(R9=3,R12=3),H9-E12)+IF(AND(R9=4,R7=4),C9-E7)+IF(AND(R9=4,R8=4),D9-E8)+IF(AND(R9=4,R10=4),F9-E10)+IF(AND(R9=4,R11=4),G9-E11)+IF(AND(R9=4,R12=4),H9-E12)</f>
        <v>0</v>
      </c>
      <c r="N9" s="857">
        <f>SUM(AND(S9=S7,C9&gt;E7),AND(S9=S8,D9&gt;E8),AND(S9=S10,F9&gt;E10),AND(S9=S11,G9&gt;E11),AND(S9=S12,H9&gt;E12))</f>
        <v>0</v>
      </c>
      <c r="O9" s="858" t="str">
        <f>SUM(C9:H9)&amp;"-"&amp;SUM(E7:E12)</f>
        <v>0-0</v>
      </c>
      <c r="P9" s="859">
        <f>C9+D9+F9+G9+H9-E7-E8-E10-E11-E12</f>
        <v>0</v>
      </c>
      <c r="Q9" s="860" t="str">
        <f t="shared" si="1"/>
        <v/>
      </c>
      <c r="R9" s="868">
        <f t="shared" si="2"/>
        <v>0</v>
      </c>
      <c r="S9" s="862">
        <f t="shared" si="3"/>
        <v>100</v>
      </c>
      <c r="T9" s="863">
        <f t="shared" si="4"/>
        <v>100.01</v>
      </c>
      <c r="U9" s="864" t="str">
        <f t="shared" si="5"/>
        <v>00</v>
      </c>
      <c r="AD9" s="676">
        <f t="shared" ca="1" si="6"/>
        <v>868</v>
      </c>
      <c r="AE9" s="829" t="str">
        <f t="shared" si="7"/>
        <v>Jaan Sepp</v>
      </c>
      <c r="AF9" s="830">
        <f ca="1">IFERROR(INDEX(Reit!$I:$I,MATCH(AE9,Reit!$F:$F,0)),"")</f>
        <v>310</v>
      </c>
      <c r="AG9" s="829" t="str">
        <f t="shared" si="8"/>
        <v>Mait Metsla</v>
      </c>
      <c r="AH9" s="830">
        <f ca="1">IFERROR(INDEX(Reit!$I:$I,MATCH(AG9,Reit!$F:$F,0)),"")</f>
        <v>228</v>
      </c>
      <c r="AI9" s="829" t="str">
        <f t="shared" si="9"/>
        <v>Oskar Sepp</v>
      </c>
      <c r="AJ9" s="830">
        <f ca="1">IFERROR(INDEX(Reit!$I:$I,MATCH(AI9,Reit!$F:$F,0)),"")</f>
        <v>330</v>
      </c>
      <c r="AK9" s="891" t="str">
        <f t="shared" si="10"/>
        <v/>
      </c>
      <c r="AL9" s="830" t="str">
        <f>IFERROR(INDEX(Reit!$I:$I,MATCH(AK9,Reit!$F:$F,0)),"")</f>
        <v/>
      </c>
      <c r="AM9" s="829" t="str">
        <f t="shared" si="11"/>
        <v/>
      </c>
      <c r="AN9" s="830" t="str">
        <f>IFERROR(INDEX(Reit!$I:$I,MATCH(AM9,Reit!$F:$F,0)),"")</f>
        <v/>
      </c>
    </row>
    <row r="10" spans="1:40" x14ac:dyDescent="0.2">
      <c r="A10" s="837">
        <v>4</v>
      </c>
      <c r="B10" s="870" t="s">
        <v>573</v>
      </c>
      <c r="C10" s="852"/>
      <c r="D10" s="869"/>
      <c r="E10" s="852"/>
      <c r="F10" s="850"/>
      <c r="G10" s="852"/>
      <c r="H10" s="852"/>
      <c r="I10" s="853" t="str">
        <f>(IF(C10-F7&gt;0,1)+IF(D10-F8&gt;0,1)+IF(E10-F9&gt;0,1)+IF(G10-F11&gt;0,1)+IF(H10-F12&gt;0,1))&amp;"-"&amp;(IF(C10-F7&lt;0,1)+IF(D10-F8&lt;0,1)+IF(E10-F9&lt;0,1)+IF(G10-F11&lt;0,1)+IF(H10-F12&lt;0,1))</f>
        <v>0-0</v>
      </c>
      <c r="J10" s="852" t="str">
        <f t="shared" si="0"/>
        <v xml:space="preserve"> </v>
      </c>
      <c r="K10" s="866">
        <f>IF(AND(R10=1,R7=1,C10&gt;F7),1)+IF(AND(R10=1,R8=1,D10&gt;F8),1)+IF(AND(R10=1,R9=1,E10&gt;F9),1)+IF(AND(R10=1,R11=1,G10&gt;F11),1)+IF(AND(R10=1,R12=1,H10&gt;F12),1)+IF(AND(R10=2,R7=2,C10&gt;F7),1)+IF(AND(R10=2,R8=2,D10&gt;F8),1)+IF(AND(R10=2,R9=2,E10&gt;F9),1)+IF(AND(R10=2,R11=2,G10&gt;F11),1)+IF(AND(R10=2,R12=2,H10&gt;F12),1)+IF(AND(R10=3,R7=3,C10&gt;F7),1)+IF(AND(R10=3,R8=3,D10&gt;F8),1)+IF(AND(R10=3,R9=3,E10&gt;F9),1)+IF(AND(R10=3,R11=3,G10&gt;F11),1)+IF(AND(R10=3,R12=3,H10&gt;F12),1)+IF(AND(R10=4,R7=4,C10&gt;F7),1)+IF(AND(R10=4,R8=4,D10&gt;F8),1)+IF(AND(R10=4,R9=4,E10&gt;F9),1)+IF(AND(R10=4,R11=4,G10&gt;F11),1)+IF(AND(R10=4,R12=4,H10&gt;F12),1)</f>
        <v>0</v>
      </c>
      <c r="L10" s="857">
        <f>SUM(AND(U10=U7,C10&gt;F7),AND(U10=U8,D10&gt;F8),AND(U10=U9,E10&gt;F9),AND(U10=U11,G10&gt;F11),AND(U10=U12,H10&gt;F12))</f>
        <v>0</v>
      </c>
      <c r="M10" s="867">
        <f>IF(AND(R10=1,R7=1),C10-F7)+IF(AND(R10=1,R8=1),D10-F8)+IF(AND(R10=1,R9=1),E10-F9)+IF(AND(R10=1,R11=1),G10-F11)+IF(AND(R10=1,R12=1),H10-F12)+IF(AND(R10=2,R7=2),C10-F7)+IF(AND(R10=2,R8=2),D10-F8)+IF(AND(R10=2,R9=2),E10-F9)+IF(AND(R10=2,R11=2),G10-F11)+IF(AND(R10=2,R12=2),H10-F12)+IF(AND(R10=3,R7=3),C10-F7)+IF(AND(R10=3,R8=3),D10-F8)+IF(AND(R10=3,R9=3),E10-F9)+IF(AND(R10=3,R11=3),G10-F11)+IF(AND(R10=3,R12=3),H10-F12)+IF(AND(R10=4,R7=4),C10-F7)+IF(AND(R10=4,R8=4),D10-F8)+IF(AND(R10=4,R9=4),E10-F9)+IF(AND(R10=4,R11=4),G10-F11)+IF(AND(R10=4,R12=4),H10-F12)</f>
        <v>0</v>
      </c>
      <c r="N10" s="857">
        <f>SUM(AND(S10=S7,C10&gt;F7),AND(S10=S8,D10&gt;F8),AND(S10=S9,E10&gt;F9),AND(S10=S11,G10&gt;F11),AND(S10=S12,H10&gt;F12))</f>
        <v>0</v>
      </c>
      <c r="O10" s="858" t="str">
        <f>SUM(C10:H10)&amp;"-"&amp;SUM(F7:F12)</f>
        <v>0-0</v>
      </c>
      <c r="P10" s="859">
        <f>C10+D10+E10+G10+H10-F7-F8-F9-F11-F12</f>
        <v>0</v>
      </c>
      <c r="Q10" s="860" t="str">
        <f t="shared" si="1"/>
        <v/>
      </c>
      <c r="R10" s="868">
        <f t="shared" si="2"/>
        <v>0</v>
      </c>
      <c r="S10" s="862">
        <f t="shared" si="3"/>
        <v>100</v>
      </c>
      <c r="T10" s="863">
        <f t="shared" si="4"/>
        <v>100.01</v>
      </c>
      <c r="U10" s="864" t="str">
        <f t="shared" si="5"/>
        <v>00</v>
      </c>
      <c r="AD10" s="676">
        <f t="shared" ca="1" si="6"/>
        <v>542</v>
      </c>
      <c r="AE10" s="829" t="str">
        <f t="shared" si="7"/>
        <v>Kenneth Muusikus</v>
      </c>
      <c r="AF10" s="830">
        <f ca="1">IFERROR(INDEX(Reit!$I:$I,MATCH(AE10,Reit!$F:$F,0)),"")</f>
        <v>258</v>
      </c>
      <c r="AG10" s="829" t="str">
        <f t="shared" si="8"/>
        <v>Oleg Rõndenkov</v>
      </c>
      <c r="AH10" s="830">
        <f ca="1">IFERROR(INDEX(Reit!$I:$I,MATCH(AG10,Reit!$F:$F,0)),"")</f>
        <v>258</v>
      </c>
      <c r="AI10" s="829" t="str">
        <f t="shared" si="9"/>
        <v>Tõnis Neiland</v>
      </c>
      <c r="AJ10" s="830">
        <f ca="1">IFERROR(INDEX(Reit!$I:$I,MATCH(AI10,Reit!$F:$F,0)),"")</f>
        <v>26</v>
      </c>
      <c r="AK10" s="891" t="str">
        <f t="shared" si="10"/>
        <v/>
      </c>
      <c r="AL10" s="830" t="str">
        <f>IFERROR(INDEX(Reit!$I:$I,MATCH(AK10,Reit!$F:$F,0)),"")</f>
        <v/>
      </c>
      <c r="AM10" s="829" t="str">
        <f t="shared" si="11"/>
        <v/>
      </c>
      <c r="AN10" s="830" t="str">
        <f>IFERROR(INDEX(Reit!$I:$I,MATCH(AM10,Reit!$F:$F,0)),"")</f>
        <v/>
      </c>
    </row>
    <row r="11" spans="1:40" x14ac:dyDescent="0.2">
      <c r="A11" s="837">
        <v>5</v>
      </c>
      <c r="B11" s="870" t="s">
        <v>574</v>
      </c>
      <c r="C11" s="852"/>
      <c r="D11" s="852"/>
      <c r="E11" s="852"/>
      <c r="F11" s="852"/>
      <c r="G11" s="850"/>
      <c r="H11" s="852"/>
      <c r="I11" s="853" t="str">
        <f>(IF(C11-G7&gt;0,1)+IF(D11-G8&gt;0,1)+IF(E11-G9&gt;0,1)+IF(F11-G10&gt;0,1)+IF(H11-G12&gt;0,1))&amp;"-"&amp;(IF(C11-G7&lt;0,1)+IF(D11-G8&lt;0,1)+IF(E11-G9&lt;0,1)+IF(F11-G10&lt;0,1)+IF(H11-G12&lt;0,1))</f>
        <v>0-0</v>
      </c>
      <c r="J11" s="852" t="str">
        <f t="shared" si="0"/>
        <v xml:space="preserve"> </v>
      </c>
      <c r="K11" s="866">
        <f>IF(AND(R11=1,R7=1,C11&gt;G7),1)+IF(AND(R11=1,R8=1,D11&gt;G8),1)+IF(AND(R11=1,R9=1,E11&gt;G9),1)+IF(AND(R11=1,R10=1,F11&gt;G10),1)+IF(AND(R11=1,R12=1,H11&gt;G12),1)+IF(AND(R11=2,R7=2,C11&gt;G7),1)+IF(AND(R11=2,R8=2,D11&gt;G8),1)+IF(AND(R11=2,R9=2,E11&gt;G9),1)+IF(AND(R11=2,R10=2,F11&gt;G10),1)+IF(AND(R11=2,R12=2,H11&gt;G12),1)+IF(AND(R11=3,R7=3,C11&gt;G7),1)+IF(AND(R11=3,R8=3,D11&gt;G8),1)+IF(AND(R11=3,R9=3,E11&gt;G9),1)+IF(AND(R11=3,R10=3,F11&gt;G10),1)+IF(AND(R11=3,R12=3,H11&gt;G12),1)+IF(AND(R11=4,R7=4,C11&gt;G7),1)+IF(AND(R11=4,R8=4,D11&gt;G8),1)+IF(AND(R11=4,R9=4,E11&gt;G9),1)+IF(AND(R11=4,R10=4,F11&gt;G10),1)+IF(AND(R11=4,R12=4,H11&gt;G12),1)</f>
        <v>0</v>
      </c>
      <c r="L11" s="857">
        <f>SUM(AND(U11=U7,C11&gt;G7),AND(U11=U8,D11&gt;G8),AND(U11=U9,E11&gt;G9),AND(U11=U10,F11&gt;G10),AND(U11=U12,H11&gt;G12))</f>
        <v>0</v>
      </c>
      <c r="M11" s="867">
        <f>IF(AND(R11=1,R7=1),C11-G7)+IF(AND(R11=1,R8=1),D11-G8)+IF(AND(R11=1,R9=1),E11-G9)+IF(AND(R11=1,R10=1),F11-G10)+IF(AND(R11=1,R12=1),H11-G12)+IF(AND(R11=2,R7=2),C11-G7)+IF(AND(R11=2,R8=2),D11-G8)+IF(AND(R11=2,R9=2),E11-G9)+IF(AND(R11=2,R10=2),F11-G10)+IF(AND(R11=2,R12=2),H11-G12)+IF(AND(R11=3,R7=3),C11-G7)+IF(AND(R11=3,R8=3),D11-G8)+IF(AND(R11=3,R9=3),E11-G9)+IF(AND(R11=3,R10=3),F11-G10)+IF(AND(R11=3,R12=3),H11-G12)+IF(AND(R11=4,R7=4),C11-G7)+IF(AND(R11=4,R8=4),D11-G8)+IF(AND(R11=4,R9=4),E11-G9)+IF(AND(R11=4,R10=4),F11-G10)+IF(AND(R11=4,R12=4),H11-G12)</f>
        <v>0</v>
      </c>
      <c r="N11" s="857">
        <f>SUM(AND(S11=S7,C11&gt;G7),AND(S11=S8,D11&gt;G8),AND(S11=S9,E11&gt;G9),AND(S11=S10,F11&gt;G10),AND(S11=S12,H11&gt;G12))</f>
        <v>0</v>
      </c>
      <c r="O11" s="858" t="str">
        <f>SUM(C11:H11)&amp;"-"&amp;SUM(G7:G12)</f>
        <v>0-0</v>
      </c>
      <c r="P11" s="859">
        <f>C11+D11+E11+F11+H11-G7-G8-G9-G10-G12</f>
        <v>0</v>
      </c>
      <c r="Q11" s="860" t="str">
        <f t="shared" si="1"/>
        <v/>
      </c>
      <c r="R11" s="868">
        <f t="shared" si="2"/>
        <v>0</v>
      </c>
      <c r="S11" s="862">
        <f t="shared" si="3"/>
        <v>100</v>
      </c>
      <c r="T11" s="863">
        <f t="shared" si="4"/>
        <v>100.01</v>
      </c>
      <c r="U11" s="864" t="str">
        <f t="shared" si="5"/>
        <v>00</v>
      </c>
      <c r="AD11" s="676">
        <f t="shared" ca="1" si="6"/>
        <v>284</v>
      </c>
      <c r="AE11" s="829" t="str">
        <f t="shared" si="7"/>
        <v>Andrei Grintšak</v>
      </c>
      <c r="AF11" s="830">
        <f ca="1">IFERROR(INDEX(Reit!$I:$I,MATCH(AE11,Reit!$F:$F,0)),"")</f>
        <v>168</v>
      </c>
      <c r="AG11" s="829" t="str">
        <f t="shared" si="8"/>
        <v>Tõnis Anton</v>
      </c>
      <c r="AH11" s="830">
        <f ca="1">IFERROR(INDEX(Reit!$I:$I,MATCH(AG11,Reit!$F:$F,0)),"")</f>
        <v>68</v>
      </c>
      <c r="AI11" s="829" t="str">
        <f t="shared" si="9"/>
        <v>Viktor Fjodorov</v>
      </c>
      <c r="AJ11" s="830">
        <f ca="1">IFERROR(INDEX(Reit!$I:$I,MATCH(AI11,Reit!$F:$F,0)),"")</f>
        <v>48</v>
      </c>
      <c r="AK11" s="891" t="str">
        <f t="shared" si="10"/>
        <v/>
      </c>
      <c r="AL11" s="830" t="str">
        <f>IFERROR(INDEX(Reit!$I:$I,MATCH(AK11,Reit!$F:$F,0)),"")</f>
        <v/>
      </c>
      <c r="AM11" s="829" t="str">
        <f t="shared" si="11"/>
        <v/>
      </c>
      <c r="AN11" s="830" t="str">
        <f>IFERROR(INDEX(Reit!$I:$I,MATCH(AM11,Reit!$F:$F,0)),"")</f>
        <v/>
      </c>
    </row>
    <row r="12" spans="1:40" x14ac:dyDescent="0.2">
      <c r="A12" s="681">
        <v>6</v>
      </c>
      <c r="B12" s="865" t="s">
        <v>563</v>
      </c>
      <c r="C12" s="872"/>
      <c r="D12" s="647"/>
      <c r="E12" s="872"/>
      <c r="F12" s="872"/>
      <c r="G12" s="872"/>
      <c r="H12" s="874"/>
      <c r="I12" s="647" t="str">
        <f>(IF(C12-H7&gt;0,1)+IF(D12-H8&gt;0,1)+IF(E12-H9&gt;0,1)+IF(F12-H10&gt;0,1)+IF(G12-H11&gt;0,1))&amp;"-"&amp;(IF(C12-H7&lt;0,1)+IF(D12-H8&lt;0,1)+IF(E12-H9&lt;0,1)+IF(F12-H10&lt;0,1)+IF(G12-H11&lt;0,1))</f>
        <v>0-0</v>
      </c>
      <c r="J12" s="852" t="str">
        <f t="shared" si="0"/>
        <v xml:space="preserve"> </v>
      </c>
      <c r="K12" s="875">
        <f>IF(AND(R12=1,R7=1,C12&gt;H7),1)+IF(AND(R12=1,R8=1,D12&gt;H8),1)+IF(AND(R12=1,R9=1,E12&gt;H9),1)+IF(AND(R12=1,R10=1,F12&gt;H10),1)+IF(AND(R12=1,R11=1,G12&gt;H11),1)+IF(AND(R12=2,R7=2,C12&gt;H7),1)+IF(AND(R12=2,R8=2,D12&gt;H8),1)+IF(AND(R12=2,R9=2,E12&gt;H9),1)+IF(AND(R12=2,R10=2,F12&gt;H10),1)+IF(AND(R12=2,R11=2,G12&gt;H11),1)+IF(AND(R12=3,R7=3,C12&gt;H7),1)+IF(AND(R12=3,R8=3,D12&gt;H8),1)+IF(AND(R12=3,R9=3,E12&gt;H9),1)+IF(AND(R12=3,R10=3,F12&gt;H10),1)+IF(AND(R12=3,R11=3,G12&gt;H11),1)+IF(AND(R12=4,R7=4,C12&gt;H7),1)+IF(AND(R12=4,R8=4,D12&gt;H8),1)+IF(AND(R12=4,R9=4,E12&gt;H9),1)+IF(AND(R12=4,R10=4,F12&gt;H10),1)+IF(AND(R12=4,R11=4,G12&gt;H11),1)</f>
        <v>0</v>
      </c>
      <c r="L12" s="876">
        <f>SUM(AND(U12=U7,C12&gt;H7),AND(U12=U8,D12&gt;H8),AND(U12=U9,E12&gt;H9),AND(U12=U10,F12&gt;H10),AND(U12=U11,G12&gt;H11))</f>
        <v>0</v>
      </c>
      <c r="M12" s="877">
        <f>IF(AND(R12=1,R7=1),C12-H7)+IF(AND(R12=1,R8=1),D12-H8)+IF(AND(R12=1,R9=1),E12-H9)+IF(AND(R12=1,R10=1),F12-H10)+IF(AND(R12=1,R11=1),G12-H11)+IF(AND(R12=2,R7=2),C12-H7)+IF(AND(R12=2,R8=2),D12-H8)+IF(AND(R12=2,R9=2),E12-H9)+IF(AND(R12=2,R10=2),F12-H10)+IF(AND(R12=2,R11=2),G12-H11)+IF(AND(R12=3,R7=3),C12-H7)+IF(AND(R12=3,R8=3),D12-H8)+IF(AND(R12=3,R9=3),E12-H9)+IF(AND(R12=3,R10=3),F12-H10)+IF(AND(R12=3,R11=3),G12-H11)+IF(AND(R12=4,R7=4),C12-H7)+IF(AND(R12=4,R8=4),D12-H8)+IF(AND(R12=4,R9=4),E12-H9)+IF(AND(R12=4,R10=4),F12-H10)+IF(AND(R12=4,R11=4),G12-H11)</f>
        <v>0</v>
      </c>
      <c r="N12" s="857">
        <f>SUM(AND(S12=S7,C12&gt;H7),AND(S12=S8,D12&gt;H8),AND(S12=S9,E12&gt;H9),AND(S12=S10,F12&gt;H10),AND(S12=S11,G12&gt;H11))</f>
        <v>0</v>
      </c>
      <c r="O12" s="858" t="str">
        <f>SUM(C12:H12)&amp;"-"&amp;SUM(H7:H12)</f>
        <v>0-0</v>
      </c>
      <c r="P12" s="859">
        <f>C12+D12+E12+F12+G12-H7-H8-H9-H10-H11</f>
        <v>0</v>
      </c>
      <c r="Q12" s="860" t="str">
        <f t="shared" si="1"/>
        <v/>
      </c>
      <c r="R12" s="868">
        <f t="shared" si="2"/>
        <v>0</v>
      </c>
      <c r="S12" s="862">
        <f t="shared" si="3"/>
        <v>100</v>
      </c>
      <c r="T12" s="863">
        <f t="shared" si="4"/>
        <v>100.01</v>
      </c>
      <c r="U12" s="864" t="str">
        <f t="shared" si="5"/>
        <v>00</v>
      </c>
      <c r="AD12" s="676">
        <f t="shared" ca="1" si="6"/>
        <v>698</v>
      </c>
      <c r="AE12" s="829" t="str">
        <f t="shared" si="7"/>
        <v>Boriss Klubov</v>
      </c>
      <c r="AF12" s="830">
        <f ca="1">IFERROR(INDEX(Reit!$I:$I,MATCH(AE12,Reit!$F:$F,0)),"")</f>
        <v>190</v>
      </c>
      <c r="AG12" s="829" t="str">
        <f t="shared" si="8"/>
        <v>Elmo Lageda</v>
      </c>
      <c r="AH12" s="830">
        <f ca="1">IFERROR(INDEX(Reit!$I:$I,MATCH(AG12,Reit!$F:$F,0)),"")</f>
        <v>258</v>
      </c>
      <c r="AI12" s="829" t="str">
        <f t="shared" si="9"/>
        <v>Tõnu Piik</v>
      </c>
      <c r="AJ12" s="830">
        <f ca="1">IFERROR(INDEX(Reit!$I:$I,MATCH(AI12,Reit!$F:$F,0)),"")</f>
        <v>250</v>
      </c>
      <c r="AK12" s="891" t="str">
        <f t="shared" si="10"/>
        <v/>
      </c>
      <c r="AL12" s="830" t="str">
        <f>IFERROR(INDEX(Reit!$I:$I,MATCH(AK12,Reit!$F:$F,0)),"")</f>
        <v/>
      </c>
      <c r="AM12" s="829" t="str">
        <f t="shared" si="11"/>
        <v/>
      </c>
      <c r="AN12" s="830" t="str">
        <f>IFERROR(INDEX(Reit!$I:$I,MATCH(AM12,Reit!$F:$F,0)),"")</f>
        <v/>
      </c>
    </row>
    <row r="14" spans="1:40" x14ac:dyDescent="0.2">
      <c r="B14" s="878" t="s">
        <v>369</v>
      </c>
      <c r="C14" s="879" t="s">
        <v>497</v>
      </c>
      <c r="D14" s="879" t="s">
        <v>498</v>
      </c>
      <c r="E14" s="879" t="s">
        <v>499</v>
      </c>
      <c r="F14" s="880"/>
    </row>
    <row r="15" spans="1:40" x14ac:dyDescent="0.2">
      <c r="B15" s="878" t="s">
        <v>370</v>
      </c>
      <c r="C15" s="879" t="s">
        <v>500</v>
      </c>
      <c r="D15" s="879" t="s">
        <v>501</v>
      </c>
      <c r="E15" s="879" t="s">
        <v>502</v>
      </c>
      <c r="F15" s="880"/>
    </row>
    <row r="16" spans="1:40" x14ac:dyDescent="0.2">
      <c r="B16" s="878" t="s">
        <v>371</v>
      </c>
      <c r="C16" s="879" t="s">
        <v>503</v>
      </c>
      <c r="D16" s="879" t="s">
        <v>504</v>
      </c>
      <c r="E16" s="879" t="s">
        <v>505</v>
      </c>
      <c r="F16" s="880"/>
    </row>
    <row r="17" spans="2:6" x14ac:dyDescent="0.2">
      <c r="B17" s="878" t="s">
        <v>372</v>
      </c>
      <c r="C17" s="879" t="s">
        <v>506</v>
      </c>
      <c r="D17" s="879" t="s">
        <v>507</v>
      </c>
      <c r="E17" s="879" t="s">
        <v>508</v>
      </c>
      <c r="F17" s="880"/>
    </row>
    <row r="18" spans="2:6" x14ac:dyDescent="0.2">
      <c r="B18" s="878" t="s">
        <v>373</v>
      </c>
      <c r="C18" s="879" t="s">
        <v>509</v>
      </c>
      <c r="D18" s="879" t="s">
        <v>510</v>
      </c>
      <c r="E18" s="879" t="s">
        <v>511</v>
      </c>
      <c r="F18" s="880"/>
    </row>
    <row r="19" spans="2:6" hidden="1" x14ac:dyDescent="0.2"/>
    <row r="20" spans="2:6" hidden="1" x14ac:dyDescent="0.2"/>
    <row r="21" spans="2:6" hidden="1" x14ac:dyDescent="0.2"/>
    <row r="22" spans="2:6" hidden="1" x14ac:dyDescent="0.2"/>
    <row r="23" spans="2:6" hidden="1" x14ac:dyDescent="0.2"/>
    <row r="24" spans="2:6" hidden="1" x14ac:dyDescent="0.2"/>
    <row r="25" spans="2:6" hidden="1" x14ac:dyDescent="0.2"/>
    <row r="26" spans="2:6" hidden="1" x14ac:dyDescent="0.2"/>
    <row r="27" spans="2:6" hidden="1" x14ac:dyDescent="0.2"/>
    <row r="28" spans="2:6" hidden="1" x14ac:dyDescent="0.2"/>
    <row r="29" spans="2:6" hidden="1" x14ac:dyDescent="0.2"/>
    <row r="30" spans="2:6" hidden="1" x14ac:dyDescent="0.2"/>
    <row r="31" spans="2:6" hidden="1" x14ac:dyDescent="0.2"/>
    <row r="32" spans="2:6"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9" hidden="1" x14ac:dyDescent="0.2"/>
    <row r="98" spans="1:9" hidden="1" x14ac:dyDescent="0.2"/>
    <row r="100" spans="1:9" x14ac:dyDescent="0.2">
      <c r="A100" s="881" t="s">
        <v>512</v>
      </c>
    </row>
    <row r="102" spans="1:9" ht="13.5" thickBot="1" x14ac:dyDescent="0.25">
      <c r="H102" s="882" t="str">
        <f>B7</f>
        <v>Aigi Orro, Andres Veski, Kalle Orro, Svetlana Veski</v>
      </c>
      <c r="I102" s="702"/>
    </row>
    <row r="103" spans="1:9" x14ac:dyDescent="0.2">
      <c r="H103" s="883" t="s">
        <v>513</v>
      </c>
      <c r="I103" s="884"/>
    </row>
    <row r="104" spans="1:9" x14ac:dyDescent="0.2">
      <c r="H104" s="702"/>
      <c r="I104" s="702"/>
    </row>
    <row r="105" spans="1:9" ht="13.5" thickBot="1" x14ac:dyDescent="0.25">
      <c r="H105" s="882" t="str">
        <f>B8</f>
        <v>Ivar Viljaste, Kristo Viljaste, Matti Vinni</v>
      </c>
      <c r="I105" s="885"/>
    </row>
    <row r="106" spans="1:9" x14ac:dyDescent="0.2">
      <c r="H106" s="883" t="s">
        <v>514</v>
      </c>
      <c r="I106" s="886"/>
    </row>
    <row r="107" spans="1:9" x14ac:dyDescent="0.2">
      <c r="H107" s="702"/>
      <c r="I107" s="702"/>
    </row>
    <row r="108" spans="1:9" ht="13.5" thickBot="1" x14ac:dyDescent="0.25">
      <c r="H108" s="882" t="str">
        <f>B9</f>
        <v>Jaan Sepp, Mait Metsla, Oskar Sepp</v>
      </c>
      <c r="I108" s="886"/>
    </row>
    <row r="109" spans="1:9" x14ac:dyDescent="0.2">
      <c r="H109" s="883" t="s">
        <v>461</v>
      </c>
      <c r="I109" s="884"/>
    </row>
    <row r="110" spans="1:9" x14ac:dyDescent="0.2">
      <c r="H110" s="886"/>
      <c r="I110" s="886"/>
    </row>
    <row r="111" spans="1:9" ht="13.5" thickBot="1" x14ac:dyDescent="0.25">
      <c r="H111" s="887" t="str">
        <f>B10</f>
        <v>Kenneth Muusikus, Oleg Rõndenkov, Tõnis Neiland</v>
      </c>
      <c r="I111" s="885"/>
    </row>
    <row r="112" spans="1:9" x14ac:dyDescent="0.2">
      <c r="H112" s="742" t="s">
        <v>458</v>
      </c>
      <c r="I112" s="702"/>
    </row>
    <row r="113" spans="8:9" x14ac:dyDescent="0.2">
      <c r="H113" s="652"/>
      <c r="I113" s="652"/>
    </row>
    <row r="114" spans="8:9" ht="13.5" thickBot="1" x14ac:dyDescent="0.25">
      <c r="H114" s="887" t="str">
        <f>B11</f>
        <v>Andrei Grintšak, Tõnis Anton, Viktor Fjodorov</v>
      </c>
      <c r="I114" s="885"/>
    </row>
    <row r="115" spans="8:9" x14ac:dyDescent="0.2">
      <c r="H115" s="742" t="s">
        <v>459</v>
      </c>
      <c r="I115" s="702"/>
    </row>
    <row r="116" spans="8:9" x14ac:dyDescent="0.2">
      <c r="H116" s="888"/>
      <c r="I116" s="888"/>
    </row>
    <row r="117" spans="8:9" ht="13.5" thickBot="1" x14ac:dyDescent="0.25">
      <c r="H117" s="887" t="str">
        <f>B12</f>
        <v>Boriss Klubov, Elmo Lageda, Tõnu Piik</v>
      </c>
      <c r="I117" s="885"/>
    </row>
    <row r="118" spans="8:9" x14ac:dyDescent="0.2">
      <c r="H118" s="742" t="s">
        <v>456</v>
      </c>
      <c r="I118" s="702"/>
    </row>
    <row r="119" spans="8:9" hidden="1" x14ac:dyDescent="0.2"/>
    <row r="120" spans="8:9" hidden="1" x14ac:dyDescent="0.2"/>
    <row r="121" spans="8:9" hidden="1" x14ac:dyDescent="0.2"/>
    <row r="122" spans="8:9" hidden="1" x14ac:dyDescent="0.2"/>
    <row r="123" spans="8:9" hidden="1" x14ac:dyDescent="0.2"/>
    <row r="124" spans="8:9" hidden="1" x14ac:dyDescent="0.2"/>
    <row r="125" spans="8:9" hidden="1" x14ac:dyDescent="0.2"/>
    <row r="126" spans="8:9" hidden="1" x14ac:dyDescent="0.2"/>
    <row r="127" spans="8:9" hidden="1" x14ac:dyDescent="0.2"/>
    <row r="128" spans="8:9"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652"/>
      <c r="B299" s="652"/>
      <c r="C299" s="646" t="s">
        <v>182</v>
      </c>
    </row>
    <row r="300" spans="1:3" x14ac:dyDescent="0.2">
      <c r="A300" s="699">
        <v>1</v>
      </c>
      <c r="B300" s="700" t="str">
        <f t="shared" ref="B300:B305" si="12">IFERROR(INDEX(H$100:H$300,MATCH(A300&amp;". koht",H$101:H$301,0)),"")</f>
        <v>Aigi Orro, Andres Veski, Kalle Orro, Svetlana Veski</v>
      </c>
      <c r="C300" s="711">
        <v>40</v>
      </c>
    </row>
    <row r="301" spans="1:3" x14ac:dyDescent="0.2">
      <c r="A301" s="699">
        <v>2</v>
      </c>
      <c r="B301" s="700" t="str">
        <f t="shared" si="12"/>
        <v>Ivar Viljaste, Kristo Viljaste, Matti Vinni</v>
      </c>
      <c r="C301" s="711">
        <v>34</v>
      </c>
    </row>
    <row r="302" spans="1:3" x14ac:dyDescent="0.2">
      <c r="A302" s="699">
        <v>3</v>
      </c>
      <c r="B302" s="700" t="str">
        <f t="shared" si="12"/>
        <v>Jaan Sepp, Mait Metsla, Oskar Sepp</v>
      </c>
      <c r="C302" s="711">
        <v>30</v>
      </c>
    </row>
    <row r="303" spans="1:3" x14ac:dyDescent="0.2">
      <c r="A303" s="699">
        <v>4</v>
      </c>
      <c r="B303" s="700" t="str">
        <f t="shared" si="12"/>
        <v>Kenneth Muusikus, Oleg Rõndenkov, Tõnis Neiland</v>
      </c>
      <c r="C303" s="711">
        <v>26</v>
      </c>
    </row>
    <row r="304" spans="1:3" x14ac:dyDescent="0.2">
      <c r="A304" s="699">
        <v>5</v>
      </c>
      <c r="B304" s="700" t="str">
        <f t="shared" si="12"/>
        <v>Andrei Grintšak, Tõnis Anton, Viktor Fjodorov</v>
      </c>
      <c r="C304" s="711">
        <v>24</v>
      </c>
    </row>
    <row r="305" spans="1:3" x14ac:dyDescent="0.2">
      <c r="A305" s="699">
        <v>6</v>
      </c>
      <c r="B305" s="700" t="str">
        <f t="shared" si="12"/>
        <v>Boriss Klubov, Elmo Lageda, Tõnu Piik</v>
      </c>
      <c r="C305" s="711">
        <v>22</v>
      </c>
    </row>
  </sheetData>
  <conditionalFormatting sqref="A300:A305">
    <cfRule type="duplicateValues" dxfId="793" priority="65"/>
  </conditionalFormatting>
  <conditionalFormatting sqref="B300:B305">
    <cfRule type="expression" dxfId="792" priority="60">
      <formula>A300=3</formula>
    </cfRule>
    <cfRule type="expression" dxfId="791" priority="61">
      <formula>A300=2</formula>
    </cfRule>
    <cfRule type="expression" dxfId="790" priority="62">
      <formula>A300=1</formula>
    </cfRule>
    <cfRule type="containsBlanks" dxfId="789" priority="63">
      <formula>LEN(TRIM(B300))=0</formula>
    </cfRule>
    <cfRule type="duplicateValues" dxfId="788" priority="64"/>
  </conditionalFormatting>
  <conditionalFormatting sqref="J7:J12">
    <cfRule type="duplicateValues" dxfId="787" priority="51"/>
  </conditionalFormatting>
  <conditionalFormatting sqref="I7:I12">
    <cfRule type="expression" dxfId="786" priority="47">
      <formula>AND(R7=4,IF(COUNTIF(R$7:R$12,"=4")&gt;=2,TRUE))</formula>
    </cfRule>
    <cfRule type="expression" dxfId="785" priority="48">
      <formula>AND(R7=3,IF(COUNTIF(R$7:R$12,"=3")&gt;=2,TRUE))</formula>
    </cfRule>
    <cfRule type="expression" dxfId="784" priority="49">
      <formula>AND(R7=2,IF(COUNTIF(R$7:R$12,"=2")&gt;=2,TRUE))</formula>
    </cfRule>
    <cfRule type="expression" dxfId="783" priority="50">
      <formula>AND(R7=1,IF(COUNTIF(R$7:R$12,"=1")&gt;=2,TRUE))</formula>
    </cfRule>
  </conditionalFormatting>
  <conditionalFormatting sqref="M7:M12">
    <cfRule type="expression" dxfId="782" priority="13">
      <formula>L7=0</formula>
    </cfRule>
    <cfRule type="expression" dxfId="781" priority="52">
      <formula>IF(COUNTIF(K$7:K$12,"=2")=2,TRUE)</formula>
    </cfRule>
    <cfRule type="expression" dxfId="780" priority="53">
      <formula>IF(COUNTIF(K$7:K$12,"=1")=2,TRUE)</formula>
    </cfRule>
    <cfRule type="expression" dxfId="779" priority="54">
      <formula>AND(IF(COUNTIF(R$7:R$12,"=1")=2,TRUE),IF(COUNTIF(R$7:R$12,"=2")=2,TRUE))</formula>
    </cfRule>
    <cfRule type="expression" dxfId="778" priority="55">
      <formula>AND(R7=4,IF(COUNTIF(R$7:R$12,"=4")=1,TRUE))</formula>
    </cfRule>
    <cfRule type="expression" dxfId="777" priority="56">
      <formula>AND(R7=3,IF(COUNTIF(R$7:R$12,"=3")=1,TRUE))</formula>
    </cfRule>
    <cfRule type="expression" dxfId="776" priority="57">
      <formula>AND(R7=2,IF(COUNTIF(R$7:R$12,"=2")=1,TRUE))</formula>
    </cfRule>
    <cfRule type="expression" dxfId="775" priority="58">
      <formula>AND(R7=1,IF(COUNTIF(R$7:R$12,"=1")=1,TRUE))</formula>
    </cfRule>
    <cfRule type="expression" dxfId="774" priority="59">
      <formula>OR(R7=0,R7=5)</formula>
    </cfRule>
  </conditionalFormatting>
  <conditionalFormatting sqref="C8 D7">
    <cfRule type="aboveAverage" dxfId="773" priority="45"/>
  </conditionalFormatting>
  <conditionalFormatting sqref="C9 E7">
    <cfRule type="aboveAverage" dxfId="772" priority="44"/>
  </conditionalFormatting>
  <conditionalFormatting sqref="D9 E8">
    <cfRule type="aboveAverage" dxfId="771" priority="43"/>
  </conditionalFormatting>
  <conditionalFormatting sqref="D10 F8">
    <cfRule type="aboveAverage" dxfId="770" priority="41"/>
  </conditionalFormatting>
  <conditionalFormatting sqref="C11 G7">
    <cfRule type="aboveAverage" dxfId="769" priority="39"/>
  </conditionalFormatting>
  <conditionalFormatting sqref="E10 F9">
    <cfRule type="aboveAverage" dxfId="768" priority="40"/>
  </conditionalFormatting>
  <conditionalFormatting sqref="D11 G8">
    <cfRule type="aboveAverage" dxfId="767" priority="38"/>
  </conditionalFormatting>
  <conditionalFormatting sqref="G9 E11">
    <cfRule type="aboveAverage" dxfId="766" priority="37"/>
  </conditionalFormatting>
  <conditionalFormatting sqref="F11 G10">
    <cfRule type="aboveAverage" dxfId="765" priority="36"/>
  </conditionalFormatting>
  <conditionalFormatting sqref="B7:B11">
    <cfRule type="duplicateValues" dxfId="764" priority="46"/>
  </conditionalFormatting>
  <conditionalFormatting sqref="C12 H7">
    <cfRule type="aboveAverage" dxfId="763" priority="35"/>
  </conditionalFormatting>
  <conditionalFormatting sqref="D12 H8">
    <cfRule type="aboveAverage" dxfId="762" priority="34"/>
  </conditionalFormatting>
  <conditionalFormatting sqref="E12 H9">
    <cfRule type="aboveAverage" dxfId="761" priority="33"/>
  </conditionalFormatting>
  <conditionalFormatting sqref="F12 H10">
    <cfRule type="aboveAverage" dxfId="760" priority="32"/>
  </conditionalFormatting>
  <conditionalFormatting sqref="G12 H11">
    <cfRule type="aboveAverage" dxfId="759" priority="31"/>
  </conditionalFormatting>
  <conditionalFormatting sqref="C10 F7">
    <cfRule type="aboveAverage" dxfId="758" priority="42"/>
  </conditionalFormatting>
  <conditionalFormatting sqref="P7:P12">
    <cfRule type="expression" dxfId="757" priority="30">
      <formula>OR(AND(K7=1,L7=1,M7=0,N7=1),AND(K7=2,L7=2,M7=0,N7=2))</formula>
    </cfRule>
  </conditionalFormatting>
  <conditionalFormatting sqref="N7:N12">
    <cfRule type="expression" dxfId="756" priority="23">
      <formula>AND(M7&gt;0,IF(COUNTIF(M$7:M$12,M7)&gt;1,TRUE,FALSE))</formula>
    </cfRule>
    <cfRule type="expression" dxfId="755" priority="24">
      <formula>AND(IF(COUNTIF(S$7:S$12,"=1")=2,TRUE),IF(COUNTIF(S$15:S$20,"=2")=2,TRUE))</formula>
    </cfRule>
    <cfRule type="expression" dxfId="754" priority="25">
      <formula>AND(S7=4,IF(COUNTIF(S$7:S$12,"=4")=1,TRUE))</formula>
    </cfRule>
    <cfRule type="expression" dxfId="753" priority="26">
      <formula>AND(S7=3,IF(COUNTIF(S$7:S$12,"=3")=1,TRUE))</formula>
    </cfRule>
    <cfRule type="expression" dxfId="752" priority="27">
      <formula>AND(S7=2,IF(COUNTIF(S$7:S$12,"=2")=1,TRUE))</formula>
    </cfRule>
    <cfRule type="expression" dxfId="751" priority="28">
      <formula>AND(S7=1,IF(COUNTIF(S$7:S$12,"=1")=1,TRUE))</formula>
    </cfRule>
    <cfRule type="expression" dxfId="750" priority="29">
      <formula>OR(S7=0,S7=5)</formula>
    </cfRule>
  </conditionalFormatting>
  <conditionalFormatting sqref="L7:L12">
    <cfRule type="expression" dxfId="749" priority="14">
      <formula>AND(K7&gt;0,IF(COUNTIF(K$7:K$12,"=1")=2,TRUE),IF(COUNTIF(K$7:K$12,"=2")=2,TRUE))</formula>
    </cfRule>
    <cfRule type="expression" dxfId="748" priority="15">
      <formula>IF(COUNTIF(M$7:M$12,"=2")=2,TRUE)</formula>
    </cfRule>
    <cfRule type="expression" dxfId="747" priority="16">
      <formula>IF(COUNTIF(M$7:M$12,"=1")=2,TRUE)</formula>
    </cfRule>
    <cfRule type="expression" dxfId="746" priority="17">
      <formula>AND(IF(COUNTIF(S$7:S$12,"=1")=2,TRUE),IF(COUNTIF(S$7:S$12,"=2")=2,TRUE))</formula>
    </cfRule>
    <cfRule type="expression" dxfId="745" priority="18">
      <formula>AND(S7=4,IF(COUNTIF(S$7:S$12,"=4")=1,TRUE))</formula>
    </cfRule>
    <cfRule type="expression" dxfId="744" priority="19">
      <formula>AND(S7=3,IF(COUNTIF(S$7:S$12,"=3")=1,TRUE))</formula>
    </cfRule>
    <cfRule type="expression" dxfId="743" priority="20">
      <formula>AND(S7=2,IF(COUNTIF(S$7:S$12,"=2")=1,TRUE))</formula>
    </cfRule>
    <cfRule type="expression" dxfId="742" priority="21">
      <formula>AND(S7=1,IF(COUNTIF(S$7:S$12,"=1")=1,TRUE))</formula>
    </cfRule>
    <cfRule type="expression" dxfId="741" priority="22">
      <formula>OR(S7=0,S7=5)</formula>
    </cfRule>
  </conditionalFormatting>
  <conditionalFormatting sqref="K7:K12">
    <cfRule type="expression" dxfId="740" priority="9">
      <formula>AND(R7=4,IF(COUNTIF(R$7:R$12,"=4")&gt;=2,TRUE))</formula>
    </cfRule>
    <cfRule type="expression" dxfId="739" priority="10">
      <formula>AND(R7=3,IF(COUNTIF(R$7:R$12,"=3")&gt;=2,TRUE))</formula>
    </cfRule>
    <cfRule type="expression" dxfId="738" priority="11">
      <formula>AND(R7=2,IF(COUNTIF(R$7:R$12,"=2")&gt;=2,TRUE))</formula>
    </cfRule>
    <cfRule type="expression" dxfId="737" priority="12">
      <formula>AND(R7=1,IF(COUNTIF(R$7:R$12,"=1")&gt;=2,TRUE))</formula>
    </cfRule>
  </conditionalFormatting>
  <conditionalFormatting sqref="C16:C17">
    <cfRule type="aboveAverage" dxfId="736" priority="8"/>
  </conditionalFormatting>
  <conditionalFormatting sqref="D16:D17">
    <cfRule type="aboveAverage" dxfId="735" priority="7"/>
  </conditionalFormatting>
  <conditionalFormatting sqref="AI7:AI12">
    <cfRule type="expression" dxfId="734" priority="1">
      <formula>AND(AJ7="",FIND(",",AI7))</formula>
    </cfRule>
    <cfRule type="expression" dxfId="733" priority="6">
      <formula>AND(AJ7="",COUNTIF(AI7,"*,*")=0)</formula>
    </cfRule>
  </conditionalFormatting>
  <conditionalFormatting sqref="AK7:AK12">
    <cfRule type="expression" dxfId="732" priority="5">
      <formula>AND(AL7="",COUNTIF(AK7,"*,*")=0)</formula>
    </cfRule>
  </conditionalFormatting>
  <conditionalFormatting sqref="AM7:AM12">
    <cfRule type="expression" dxfId="731" priority="4">
      <formula>AND(AN7="",COUNTIF(AM7,"*,*")=0)</formula>
    </cfRule>
  </conditionalFormatting>
  <conditionalFormatting sqref="AG7:AG12">
    <cfRule type="expression" dxfId="730" priority="3">
      <formula>AND(AH7="",COUNTIF(AG7,"*,*")=0)</formula>
    </cfRule>
  </conditionalFormatting>
  <conditionalFormatting sqref="AE7:AE12">
    <cfRule type="expression" dxfId="729" priority="2">
      <formula>AND(AF7="",COUNTIF(AE7,"*,*")=0)</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rowBreaks count="1" manualBreakCount="1">
    <brk id="297"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G325"/>
  <sheetViews>
    <sheetView showGridLines="0" showRowColHeaders="0" zoomScaleNormal="100" workbookViewId="0">
      <pane ySplit="2" topLeftCell="A3" activePane="bottomLeft" state="frozen"/>
      <selection pane="bottomLeft" activeCell="R1" sqref="R1"/>
    </sheetView>
  </sheetViews>
  <sheetFormatPr defaultRowHeight="12.75" x14ac:dyDescent="0.2"/>
  <cols>
    <col min="1" max="1" width="3.28515625" customWidth="1"/>
    <col min="2" max="2" width="21.8554687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0" width="9.140625" hidden="1" customWidth="1"/>
    <col min="31" max="31" width="21.85546875" hidden="1" customWidth="1"/>
    <col min="32" max="32" width="9.140625" hidden="1" customWidth="1"/>
  </cols>
  <sheetData>
    <row r="1" spans="1:33" x14ac:dyDescent="0.2">
      <c r="A1" s="742" t="str">
        <f>UPPER((Kalend!E35)&amp;" - "&amp;(Kalend!C35)&amp;" - "&amp;(Kalend!D35))</f>
        <v>11 - K-JÄRVE 20. MV - ÜKSIK</v>
      </c>
      <c r="B1" s="652"/>
      <c r="C1" s="653"/>
      <c r="D1" s="652"/>
      <c r="E1" s="652"/>
      <c r="J1" s="410" t="str">
        <f>HYPERLINK("#Kalend!I1","Kalender")</f>
        <v>Kalender</v>
      </c>
      <c r="K1" s="410"/>
      <c r="L1" s="410"/>
      <c r="M1" s="410"/>
      <c r="N1" s="654" t="str">
        <f>HYPERLINK("#Reit!r1","Reiting")</f>
        <v>Reiting</v>
      </c>
      <c r="O1" s="655"/>
      <c r="P1" s="656"/>
      <c r="Q1" s="657"/>
      <c r="R1" s="657"/>
      <c r="S1" s="655"/>
      <c r="T1" s="656"/>
      <c r="U1" s="656"/>
      <c r="V1" s="656"/>
      <c r="W1" s="652"/>
      <c r="X1" s="658"/>
      <c r="Y1" s="652"/>
      <c r="Z1" s="652"/>
      <c r="AA1" s="652"/>
      <c r="AB1" s="652"/>
      <c r="AD1" s="417" t="s">
        <v>181</v>
      </c>
      <c r="AE1" s="822"/>
      <c r="AF1" s="822"/>
      <c r="AG1" s="652"/>
    </row>
    <row r="2" spans="1:33" x14ac:dyDescent="0.2">
      <c r="A2" s="659" t="str">
        <f>"Toimumisaeg: "&amp;(Kalend!A35)&amp;" kell "&amp;(Kalend!B35)</f>
        <v>Toimumisaeg: T, 20.08.2019 kell 11:00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52"/>
      <c r="AB2" s="652"/>
      <c r="AD2" s="659"/>
      <c r="AE2" s="659"/>
      <c r="AF2" s="659"/>
      <c r="AG2" s="652"/>
    </row>
    <row r="3" spans="1:33" x14ac:dyDescent="0.2">
      <c r="A3" s="659" t="str">
        <f>"Toimumiskoht: "&amp;(Kalend!F35)</f>
        <v>Toimumiskoht: K-Järve spordihoone</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823" t="s">
        <v>362</v>
      </c>
      <c r="AF3" s="659"/>
      <c r="AG3" s="652"/>
    </row>
    <row r="4" spans="1:33" x14ac:dyDescent="0.2">
      <c r="A4" s="659" t="str">
        <f>"Korraldaja: "&amp;(Kalend!G35)</f>
        <v>Korraldaja: Ivar Viljaste</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824" t="s">
        <v>479</v>
      </c>
      <c r="AE4" s="825"/>
      <c r="AF4" s="825"/>
      <c r="AG4" s="652"/>
    </row>
    <row r="5" spans="1:33"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824" t="s">
        <v>364</v>
      </c>
      <c r="AE5" s="826" t="s">
        <v>208</v>
      </c>
      <c r="AF5" s="826"/>
      <c r="AG5" s="652"/>
    </row>
    <row r="6" spans="1:33"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827" t="s">
        <v>376</v>
      </c>
      <c r="AE6" s="825"/>
      <c r="AF6" s="825"/>
      <c r="AG6" s="652"/>
    </row>
    <row r="7" spans="1:33"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828"/>
      <c r="AE7" s="828"/>
      <c r="AF7" s="828"/>
      <c r="AG7" s="652"/>
    </row>
    <row r="8" spans="1:33" x14ac:dyDescent="0.2">
      <c r="A8" s="685">
        <v>1</v>
      </c>
      <c r="B8" s="686" t="s">
        <v>220</v>
      </c>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813"/>
      <c r="AE8" s="813"/>
      <c r="AF8" s="813"/>
      <c r="AG8" s="652"/>
    </row>
    <row r="9" spans="1:33" x14ac:dyDescent="0.2">
      <c r="A9" s="685">
        <v>2</v>
      </c>
      <c r="B9" s="686" t="s">
        <v>20</v>
      </c>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27" si="0">IF(C9&gt;E9,J$3,IF(C9&lt;E9,J$5,IF(ISNUMBER(C9),J$4,0)))+IF(G9&gt;I9,J$3,IF(G9&lt;I9,J$5,IF(ISNUMBER(G9),J$4,0)))+IF(K9&gt;M9,J$3,IF(K9&lt;M9,J$5,IF(ISNUMBER(K9),J$4,0)))+IF(O9&gt;Q9,J$3,IF(O9&lt;Q9,J$5,IF(ISNUMBER(O9),J$4,0)))+IF(S9&gt;U9,J$3,IF(S9&lt;U9,J$5,IF(ISNUMBER(S9),J$4,0)))</f>
        <v>0</v>
      </c>
      <c r="X9" s="692"/>
      <c r="Y9" s="687">
        <f t="shared" ref="Y9:Y27" si="1">C9+G9+K9+O9+S9</f>
        <v>0</v>
      </c>
      <c r="Z9" s="688" t="s">
        <v>377</v>
      </c>
      <c r="AA9" s="693">
        <f t="shared" ref="AA9:AA27" si="2">E9+I9+M9+Q9+U9</f>
        <v>0</v>
      </c>
      <c r="AB9" s="694">
        <f t="shared" ref="AB9:AB27" si="3">Y9-AA9</f>
        <v>0</v>
      </c>
      <c r="AC9" s="695"/>
      <c r="AD9" s="676">
        <f ca="1">SUM(AF9:AF9)</f>
        <v>364</v>
      </c>
      <c r="AE9" s="829" t="str">
        <f>$B9</f>
        <v>Ivar Viljaste</v>
      </c>
      <c r="AF9" s="830">
        <f ca="1">IFERROR(INDEX(Reit!$I:$I,MATCH(AE9,Reit!$F:$F,0)),"")</f>
        <v>364</v>
      </c>
      <c r="AG9" s="652"/>
    </row>
    <row r="10" spans="1:33" x14ac:dyDescent="0.2">
      <c r="A10" s="685">
        <v>3</v>
      </c>
      <c r="B10" s="686" t="s">
        <v>225</v>
      </c>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0"/>
        <v>0</v>
      </c>
      <c r="X10" s="692"/>
      <c r="Y10" s="687">
        <f t="shared" si="1"/>
        <v>0</v>
      </c>
      <c r="Z10" s="688" t="s">
        <v>377</v>
      </c>
      <c r="AA10" s="693">
        <f t="shared" si="2"/>
        <v>0</v>
      </c>
      <c r="AB10" s="694">
        <f t="shared" si="3"/>
        <v>0</v>
      </c>
      <c r="AC10" s="695"/>
      <c r="AD10" s="676">
        <f t="shared" ref="AD10:AD23" ca="1" si="4">SUM(AF10:AF10)</f>
        <v>258</v>
      </c>
      <c r="AE10" s="829" t="str">
        <f t="shared" ref="AE10:AE33" si="5">$B10</f>
        <v>Kenneth Muusikus</v>
      </c>
      <c r="AF10" s="830">
        <f ca="1">IFERROR(INDEX(Reit!$I:$I,MATCH(AE10,Reit!$F:$F,0)),"")</f>
        <v>258</v>
      </c>
      <c r="AG10" s="652"/>
    </row>
    <row r="11" spans="1:33" x14ac:dyDescent="0.2">
      <c r="A11" s="685">
        <v>4</v>
      </c>
      <c r="B11" s="686" t="s">
        <v>223</v>
      </c>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0"/>
        <v>0</v>
      </c>
      <c r="X11" s="692"/>
      <c r="Y11" s="687">
        <f t="shared" si="1"/>
        <v>0</v>
      </c>
      <c r="Z11" s="688" t="s">
        <v>377</v>
      </c>
      <c r="AA11" s="693">
        <f t="shared" si="2"/>
        <v>0</v>
      </c>
      <c r="AB11" s="694">
        <f t="shared" si="3"/>
        <v>0</v>
      </c>
      <c r="AC11" s="695"/>
      <c r="AD11" s="676">
        <f t="shared" ca="1" si="4"/>
        <v>258</v>
      </c>
      <c r="AE11" s="829" t="str">
        <f t="shared" si="5"/>
        <v>Oleg Rõndenkov</v>
      </c>
      <c r="AF11" s="830">
        <f ca="1">IFERROR(INDEX(Reit!$I:$I,MATCH(AE11,Reit!$F:$F,0)),"")</f>
        <v>258</v>
      </c>
      <c r="AG11" s="652"/>
    </row>
    <row r="12" spans="1:33" x14ac:dyDescent="0.2">
      <c r="A12" s="685">
        <v>5</v>
      </c>
      <c r="B12" s="686" t="s">
        <v>227</v>
      </c>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0"/>
        <v>0</v>
      </c>
      <c r="X12" s="692"/>
      <c r="Y12" s="687">
        <f t="shared" si="1"/>
        <v>0</v>
      </c>
      <c r="Z12" s="688" t="s">
        <v>377</v>
      </c>
      <c r="AA12" s="693">
        <f t="shared" si="2"/>
        <v>0</v>
      </c>
      <c r="AB12" s="694">
        <f t="shared" si="3"/>
        <v>0</v>
      </c>
      <c r="AC12" s="695"/>
      <c r="AD12" s="676">
        <f t="shared" ca="1" si="4"/>
        <v>234</v>
      </c>
      <c r="AE12" s="829" t="str">
        <f t="shared" si="5"/>
        <v>Andres Veski</v>
      </c>
      <c r="AF12" s="830">
        <f ca="1">IFERROR(INDEX(Reit!$I:$I,MATCH(AE12,Reit!$F:$F,0)),"")</f>
        <v>234</v>
      </c>
      <c r="AG12" s="652"/>
    </row>
    <row r="13" spans="1:33" x14ac:dyDescent="0.2">
      <c r="A13" s="685">
        <v>6</v>
      </c>
      <c r="B13" s="686" t="s">
        <v>266</v>
      </c>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0"/>
        <v>0</v>
      </c>
      <c r="X13" s="692"/>
      <c r="Y13" s="687">
        <f t="shared" si="1"/>
        <v>0</v>
      </c>
      <c r="Z13" s="688" t="s">
        <v>377</v>
      </c>
      <c r="AA13" s="693">
        <f t="shared" si="2"/>
        <v>0</v>
      </c>
      <c r="AB13" s="694">
        <f t="shared" si="3"/>
        <v>0</v>
      </c>
      <c r="AC13" s="695"/>
      <c r="AD13" s="676">
        <f t="shared" ca="1" si="4"/>
        <v>22</v>
      </c>
      <c r="AE13" s="829" t="str">
        <f t="shared" si="5"/>
        <v>Ülo Piik</v>
      </c>
      <c r="AF13" s="830">
        <f ca="1">IFERROR(INDEX(Reit!$I:$I,MATCH(AE13,Reit!$F:$F,0)),"")</f>
        <v>22</v>
      </c>
      <c r="AG13" s="652"/>
    </row>
    <row r="14" spans="1:33" x14ac:dyDescent="0.2">
      <c r="A14" s="685">
        <v>7</v>
      </c>
      <c r="B14" s="696" t="s">
        <v>222</v>
      </c>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0"/>
        <v>0</v>
      </c>
      <c r="X14" s="692"/>
      <c r="Y14" s="687">
        <f t="shared" si="1"/>
        <v>0</v>
      </c>
      <c r="Z14" s="688" t="s">
        <v>377</v>
      </c>
      <c r="AA14" s="693">
        <f t="shared" si="2"/>
        <v>0</v>
      </c>
      <c r="AB14" s="694">
        <f t="shared" si="3"/>
        <v>0</v>
      </c>
      <c r="AC14" s="695"/>
      <c r="AD14" s="676">
        <f t="shared" ca="1" si="4"/>
        <v>294</v>
      </c>
      <c r="AE14" s="829" t="str">
        <f t="shared" si="5"/>
        <v>Matti Vinni</v>
      </c>
      <c r="AF14" s="830">
        <f ca="1">IFERROR(INDEX(Reit!$I:$I,MATCH(AE14,Reit!$F:$F,0)),"")</f>
        <v>294</v>
      </c>
      <c r="AG14" s="652"/>
    </row>
    <row r="15" spans="1:33" x14ac:dyDescent="0.2">
      <c r="A15" s="685">
        <v>8</v>
      </c>
      <c r="B15" s="696" t="s">
        <v>260</v>
      </c>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0"/>
        <v>0</v>
      </c>
      <c r="X15" s="692"/>
      <c r="Y15" s="687">
        <f t="shared" si="1"/>
        <v>0</v>
      </c>
      <c r="Z15" s="688" t="s">
        <v>377</v>
      </c>
      <c r="AA15" s="693">
        <f t="shared" si="2"/>
        <v>0</v>
      </c>
      <c r="AB15" s="694">
        <f t="shared" si="3"/>
        <v>0</v>
      </c>
      <c r="AC15" s="695"/>
      <c r="AD15" s="676">
        <f t="shared" ca="1" si="4"/>
        <v>37</v>
      </c>
      <c r="AE15" s="829" t="str">
        <f t="shared" si="5"/>
        <v>Urmas Jõeäär</v>
      </c>
      <c r="AF15" s="830">
        <f ca="1">IFERROR(INDEX(Reit!$I:$I,MATCH(AE15,Reit!$F:$F,0)),"")</f>
        <v>37</v>
      </c>
      <c r="AG15" s="652"/>
    </row>
    <row r="16" spans="1:33" x14ac:dyDescent="0.2">
      <c r="A16" s="685">
        <v>9</v>
      </c>
      <c r="B16" s="686" t="s">
        <v>221</v>
      </c>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0"/>
        <v>0</v>
      </c>
      <c r="X16" s="692"/>
      <c r="Y16" s="687">
        <f t="shared" si="1"/>
        <v>0</v>
      </c>
      <c r="Z16" s="688" t="s">
        <v>377</v>
      </c>
      <c r="AA16" s="693">
        <f t="shared" si="2"/>
        <v>0</v>
      </c>
      <c r="AB16" s="694">
        <f t="shared" si="3"/>
        <v>0</v>
      </c>
      <c r="AC16" s="695"/>
      <c r="AD16" s="676">
        <f t="shared" ca="1" si="4"/>
        <v>310</v>
      </c>
      <c r="AE16" s="829" t="str">
        <f t="shared" si="5"/>
        <v>Jaan Sepp</v>
      </c>
      <c r="AF16" s="830">
        <f ca="1">IFERROR(INDEX(Reit!$I:$I,MATCH(AE16,Reit!$F:$F,0)),"")</f>
        <v>310</v>
      </c>
      <c r="AG16" s="652"/>
    </row>
    <row r="17" spans="1:33" x14ac:dyDescent="0.2">
      <c r="A17" s="685">
        <v>10</v>
      </c>
      <c r="B17" s="686" t="s">
        <v>224</v>
      </c>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0"/>
        <v>0</v>
      </c>
      <c r="X17" s="692"/>
      <c r="Y17" s="687">
        <f t="shared" si="1"/>
        <v>0</v>
      </c>
      <c r="Z17" s="688" t="s">
        <v>377</v>
      </c>
      <c r="AA17" s="693">
        <f t="shared" si="2"/>
        <v>0</v>
      </c>
      <c r="AB17" s="694">
        <f t="shared" si="3"/>
        <v>0</v>
      </c>
      <c r="AC17" s="695"/>
      <c r="AD17" s="676">
        <f t="shared" ca="1" si="4"/>
        <v>258</v>
      </c>
      <c r="AE17" s="829" t="str">
        <f t="shared" si="5"/>
        <v>Elmo Lageda</v>
      </c>
      <c r="AF17" s="830">
        <f ca="1">IFERROR(INDEX(Reit!$I:$I,MATCH(AE17,Reit!$F:$F,0)),"")</f>
        <v>258</v>
      </c>
      <c r="AG17" s="652"/>
    </row>
    <row r="18" spans="1:33" x14ac:dyDescent="0.2">
      <c r="A18" s="685">
        <v>11</v>
      </c>
      <c r="B18" s="696" t="s">
        <v>233</v>
      </c>
      <c r="C18" s="687"/>
      <c r="D18" s="688" t="s">
        <v>377</v>
      </c>
      <c r="E18" s="689"/>
      <c r="F18" s="690"/>
      <c r="G18" s="687"/>
      <c r="H18" s="688" t="s">
        <v>377</v>
      </c>
      <c r="I18" s="689"/>
      <c r="J18" s="690"/>
      <c r="K18" s="687"/>
      <c r="L18" s="688" t="s">
        <v>377</v>
      </c>
      <c r="M18" s="689"/>
      <c r="N18" s="690"/>
      <c r="O18" s="687"/>
      <c r="P18" s="688" t="s">
        <v>377</v>
      </c>
      <c r="Q18" s="689"/>
      <c r="R18" s="690"/>
      <c r="S18" s="687"/>
      <c r="T18" s="688" t="s">
        <v>377</v>
      </c>
      <c r="U18" s="689"/>
      <c r="V18" s="690"/>
      <c r="W18" s="691">
        <f t="shared" si="0"/>
        <v>0</v>
      </c>
      <c r="X18" s="692"/>
      <c r="Y18" s="687">
        <f t="shared" si="1"/>
        <v>0</v>
      </c>
      <c r="Z18" s="688" t="s">
        <v>377</v>
      </c>
      <c r="AA18" s="693">
        <f t="shared" si="2"/>
        <v>0</v>
      </c>
      <c r="AB18" s="694">
        <f t="shared" si="3"/>
        <v>0</v>
      </c>
      <c r="AC18" s="695"/>
      <c r="AD18" s="676">
        <f t="shared" ca="1" si="4"/>
        <v>160</v>
      </c>
      <c r="AE18" s="829" t="str">
        <f t="shared" si="5"/>
        <v>Svetlana Veski</v>
      </c>
      <c r="AF18" s="830">
        <f ca="1">IFERROR(INDEX(Reit!$I:$I,MATCH(AE18,Reit!$F:$F,0)),"")</f>
        <v>160</v>
      </c>
      <c r="AG18" s="652"/>
    </row>
    <row r="19" spans="1:33" x14ac:dyDescent="0.2">
      <c r="A19" s="685">
        <v>12</v>
      </c>
      <c r="B19" s="696" t="s">
        <v>228</v>
      </c>
      <c r="C19" s="687"/>
      <c r="D19" s="688" t="s">
        <v>377</v>
      </c>
      <c r="E19" s="689"/>
      <c r="F19" s="690"/>
      <c r="G19" s="687"/>
      <c r="H19" s="688" t="s">
        <v>377</v>
      </c>
      <c r="I19" s="689"/>
      <c r="J19" s="690"/>
      <c r="K19" s="687"/>
      <c r="L19" s="688" t="s">
        <v>377</v>
      </c>
      <c r="M19" s="689"/>
      <c r="N19" s="690"/>
      <c r="O19" s="687"/>
      <c r="P19" s="688" t="s">
        <v>377</v>
      </c>
      <c r="Q19" s="689"/>
      <c r="R19" s="690"/>
      <c r="S19" s="687"/>
      <c r="T19" s="688" t="s">
        <v>377</v>
      </c>
      <c r="U19" s="689"/>
      <c r="V19" s="690"/>
      <c r="W19" s="691">
        <f t="shared" si="0"/>
        <v>0</v>
      </c>
      <c r="X19" s="692"/>
      <c r="Y19" s="687">
        <f t="shared" si="1"/>
        <v>0</v>
      </c>
      <c r="Z19" s="688" t="s">
        <v>377</v>
      </c>
      <c r="AA19" s="693">
        <f t="shared" si="2"/>
        <v>0</v>
      </c>
      <c r="AB19" s="694">
        <f t="shared" si="3"/>
        <v>0</v>
      </c>
      <c r="AC19" s="695"/>
      <c r="AD19" s="676">
        <f t="shared" ca="1" si="4"/>
        <v>228</v>
      </c>
      <c r="AE19" s="829" t="str">
        <f t="shared" si="5"/>
        <v>Mait Metsla</v>
      </c>
      <c r="AF19" s="830">
        <f ca="1">IFERROR(INDEX(Reit!$I:$I,MATCH(AE19,Reit!$F:$F,0)),"")</f>
        <v>228</v>
      </c>
      <c r="AG19" s="652"/>
    </row>
    <row r="20" spans="1:33" x14ac:dyDescent="0.2">
      <c r="A20" s="685">
        <v>13</v>
      </c>
      <c r="B20" s="686" t="s">
        <v>226</v>
      </c>
      <c r="C20" s="687"/>
      <c r="D20" s="688" t="s">
        <v>377</v>
      </c>
      <c r="E20" s="689"/>
      <c r="F20" s="690"/>
      <c r="G20" s="687"/>
      <c r="H20" s="688" t="s">
        <v>377</v>
      </c>
      <c r="I20" s="689"/>
      <c r="J20" s="690"/>
      <c r="K20" s="687"/>
      <c r="L20" s="688" t="s">
        <v>377</v>
      </c>
      <c r="M20" s="689"/>
      <c r="N20" s="690"/>
      <c r="O20" s="687"/>
      <c r="P20" s="688" t="s">
        <v>377</v>
      </c>
      <c r="Q20" s="689"/>
      <c r="R20" s="690"/>
      <c r="S20" s="687"/>
      <c r="T20" s="688" t="s">
        <v>377</v>
      </c>
      <c r="U20" s="689"/>
      <c r="V20" s="690"/>
      <c r="W20" s="691">
        <f t="shared" si="0"/>
        <v>0</v>
      </c>
      <c r="X20" s="692"/>
      <c r="Y20" s="687">
        <f t="shared" si="1"/>
        <v>0</v>
      </c>
      <c r="Z20" s="688" t="s">
        <v>377</v>
      </c>
      <c r="AA20" s="693">
        <f t="shared" si="2"/>
        <v>0</v>
      </c>
      <c r="AB20" s="694">
        <f t="shared" si="3"/>
        <v>0</v>
      </c>
      <c r="AC20" s="695"/>
      <c r="AD20" s="676">
        <f t="shared" ca="1" si="4"/>
        <v>250</v>
      </c>
      <c r="AE20" s="829" t="str">
        <f t="shared" si="5"/>
        <v>Tõnu Piik</v>
      </c>
      <c r="AF20" s="830">
        <f ca="1">IFERROR(INDEX(Reit!$I:$I,MATCH(AE20,Reit!$F:$F,0)),"")</f>
        <v>250</v>
      </c>
      <c r="AG20" s="652"/>
    </row>
    <row r="21" spans="1:33" x14ac:dyDescent="0.2">
      <c r="A21" s="685">
        <v>14</v>
      </c>
      <c r="B21" s="696" t="s">
        <v>270</v>
      </c>
      <c r="C21" s="687"/>
      <c r="D21" s="688" t="s">
        <v>377</v>
      </c>
      <c r="E21" s="689"/>
      <c r="F21" s="690"/>
      <c r="G21" s="687"/>
      <c r="H21" s="688" t="s">
        <v>377</v>
      </c>
      <c r="I21" s="689"/>
      <c r="J21" s="690"/>
      <c r="K21" s="687"/>
      <c r="L21" s="688" t="s">
        <v>377</v>
      </c>
      <c r="M21" s="689"/>
      <c r="N21" s="690"/>
      <c r="O21" s="687"/>
      <c r="P21" s="688" t="s">
        <v>377</v>
      </c>
      <c r="Q21" s="689"/>
      <c r="R21" s="690"/>
      <c r="S21" s="687"/>
      <c r="T21" s="688" t="s">
        <v>377</v>
      </c>
      <c r="U21" s="689"/>
      <c r="V21" s="690"/>
      <c r="W21" s="691">
        <f t="shared" si="0"/>
        <v>0</v>
      </c>
      <c r="X21" s="692"/>
      <c r="Y21" s="687">
        <f t="shared" si="1"/>
        <v>0</v>
      </c>
      <c r="Z21" s="688" t="s">
        <v>377</v>
      </c>
      <c r="AA21" s="693">
        <f t="shared" si="2"/>
        <v>0</v>
      </c>
      <c r="AB21" s="694">
        <f t="shared" si="3"/>
        <v>0</v>
      </c>
      <c r="AC21" s="695"/>
      <c r="AD21" s="676">
        <f t="shared" ca="1" si="4"/>
        <v>11</v>
      </c>
      <c r="AE21" s="829" t="str">
        <f t="shared" si="5"/>
        <v>Vello Vasser</v>
      </c>
      <c r="AF21" s="830">
        <f ca="1">IFERROR(INDEX(Reit!$I:$I,MATCH(AE21,Reit!$F:$F,0)),"")</f>
        <v>11</v>
      </c>
      <c r="AG21" s="652"/>
    </row>
    <row r="22" spans="1:33" x14ac:dyDescent="0.2">
      <c r="A22" s="685">
        <v>15</v>
      </c>
      <c r="B22" s="696" t="s">
        <v>242</v>
      </c>
      <c r="C22" s="687"/>
      <c r="D22" s="688" t="s">
        <v>377</v>
      </c>
      <c r="E22" s="689"/>
      <c r="F22" s="690"/>
      <c r="G22" s="687"/>
      <c r="H22" s="688" t="s">
        <v>377</v>
      </c>
      <c r="I22" s="689"/>
      <c r="J22" s="690"/>
      <c r="K22" s="687"/>
      <c r="L22" s="688" t="s">
        <v>377</v>
      </c>
      <c r="M22" s="689"/>
      <c r="N22" s="690"/>
      <c r="O22" s="687"/>
      <c r="P22" s="688" t="s">
        <v>377</v>
      </c>
      <c r="Q22" s="689"/>
      <c r="R22" s="690"/>
      <c r="S22" s="687"/>
      <c r="T22" s="688" t="s">
        <v>377</v>
      </c>
      <c r="U22" s="689"/>
      <c r="V22" s="690"/>
      <c r="W22" s="691">
        <f t="shared" si="0"/>
        <v>0</v>
      </c>
      <c r="X22" s="692"/>
      <c r="Y22" s="687">
        <f t="shared" si="1"/>
        <v>0</v>
      </c>
      <c r="Z22" s="688" t="s">
        <v>377</v>
      </c>
      <c r="AA22" s="693">
        <f t="shared" si="2"/>
        <v>0</v>
      </c>
      <c r="AB22" s="694">
        <f t="shared" si="3"/>
        <v>0</v>
      </c>
      <c r="AC22" s="695"/>
      <c r="AD22" s="676">
        <f t="shared" ca="1" si="4"/>
        <v>89</v>
      </c>
      <c r="AE22" s="829" t="str">
        <f t="shared" si="5"/>
        <v>Oksana Rõndenkova</v>
      </c>
      <c r="AF22" s="830">
        <f ca="1">IFERROR(INDEX(Reit!$I:$I,MATCH(AE22,Reit!$F:$F,0)),"")</f>
        <v>89</v>
      </c>
      <c r="AG22" s="652"/>
    </row>
    <row r="23" spans="1:33" x14ac:dyDescent="0.2">
      <c r="A23" s="685">
        <v>16</v>
      </c>
      <c r="B23" s="686" t="s">
        <v>232</v>
      </c>
      <c r="C23" s="687"/>
      <c r="D23" s="688" t="s">
        <v>377</v>
      </c>
      <c r="E23" s="689"/>
      <c r="F23" s="690"/>
      <c r="G23" s="687"/>
      <c r="H23" s="688" t="s">
        <v>377</v>
      </c>
      <c r="I23" s="689"/>
      <c r="J23" s="690"/>
      <c r="K23" s="687"/>
      <c r="L23" s="688" t="s">
        <v>377</v>
      </c>
      <c r="M23" s="689"/>
      <c r="N23" s="690"/>
      <c r="O23" s="687"/>
      <c r="P23" s="688" t="s">
        <v>377</v>
      </c>
      <c r="Q23" s="689"/>
      <c r="R23" s="690"/>
      <c r="S23" s="687"/>
      <c r="T23" s="688" t="s">
        <v>377</v>
      </c>
      <c r="U23" s="689"/>
      <c r="V23" s="690"/>
      <c r="W23" s="691">
        <f t="shared" si="0"/>
        <v>0</v>
      </c>
      <c r="X23" s="692"/>
      <c r="Y23" s="687">
        <f t="shared" si="1"/>
        <v>0</v>
      </c>
      <c r="Z23" s="688" t="s">
        <v>377</v>
      </c>
      <c r="AA23" s="693">
        <f t="shared" si="2"/>
        <v>0</v>
      </c>
      <c r="AB23" s="694">
        <f t="shared" si="3"/>
        <v>0</v>
      </c>
      <c r="AC23" s="695"/>
      <c r="AD23" s="676">
        <f t="shared" ca="1" si="4"/>
        <v>168</v>
      </c>
      <c r="AE23" s="829" t="str">
        <f t="shared" si="5"/>
        <v>Andrei Grintšak</v>
      </c>
      <c r="AF23" s="830">
        <f ca="1">IFERROR(INDEX(Reit!$I:$I,MATCH(AE23,Reit!$F:$F,0)),"")</f>
        <v>168</v>
      </c>
      <c r="AG23" s="652"/>
    </row>
    <row r="24" spans="1:33" x14ac:dyDescent="0.2">
      <c r="A24" s="685">
        <v>17</v>
      </c>
      <c r="B24" s="696" t="s">
        <v>235</v>
      </c>
      <c r="C24" s="687"/>
      <c r="D24" s="688" t="s">
        <v>377</v>
      </c>
      <c r="E24" s="689"/>
      <c r="F24" s="690"/>
      <c r="G24" s="687"/>
      <c r="H24" s="688" t="s">
        <v>377</v>
      </c>
      <c r="I24" s="689"/>
      <c r="J24" s="690"/>
      <c r="K24" s="687"/>
      <c r="L24" s="688" t="s">
        <v>377</v>
      </c>
      <c r="M24" s="689"/>
      <c r="N24" s="690"/>
      <c r="O24" s="687"/>
      <c r="P24" s="688" t="s">
        <v>377</v>
      </c>
      <c r="Q24" s="689"/>
      <c r="R24" s="690"/>
      <c r="S24" s="687"/>
      <c r="T24" s="688" t="s">
        <v>377</v>
      </c>
      <c r="U24" s="689"/>
      <c r="V24" s="690"/>
      <c r="W24" s="691">
        <f t="shared" si="0"/>
        <v>0</v>
      </c>
      <c r="X24" s="692"/>
      <c r="Y24" s="687">
        <f t="shared" si="1"/>
        <v>0</v>
      </c>
      <c r="Z24" s="688" t="s">
        <v>377</v>
      </c>
      <c r="AA24" s="693">
        <f t="shared" si="2"/>
        <v>0</v>
      </c>
      <c r="AB24" s="694">
        <f t="shared" si="3"/>
        <v>0</v>
      </c>
      <c r="AC24" s="695"/>
      <c r="AD24" s="676">
        <f t="shared" ref="AD24:AD33" ca="1" si="6">SUM(AF24:AF24)</f>
        <v>158</v>
      </c>
      <c r="AE24" s="829" t="str">
        <f t="shared" si="5"/>
        <v>Tõnu Kapper</v>
      </c>
      <c r="AF24" s="830">
        <f ca="1">IFERROR(INDEX(Reit!$I:$I,MATCH(AE24,Reit!$F:$F,0)),"")</f>
        <v>158</v>
      </c>
      <c r="AG24" s="652"/>
    </row>
    <row r="25" spans="1:33" x14ac:dyDescent="0.2">
      <c r="A25" s="685">
        <v>18</v>
      </c>
      <c r="B25" s="696" t="s">
        <v>231</v>
      </c>
      <c r="C25" s="687"/>
      <c r="D25" s="688" t="s">
        <v>377</v>
      </c>
      <c r="E25" s="689"/>
      <c r="F25" s="690"/>
      <c r="G25" s="687"/>
      <c r="H25" s="688" t="s">
        <v>377</v>
      </c>
      <c r="I25" s="689"/>
      <c r="J25" s="690"/>
      <c r="K25" s="687"/>
      <c r="L25" s="688" t="s">
        <v>377</v>
      </c>
      <c r="M25" s="689"/>
      <c r="N25" s="690"/>
      <c r="O25" s="687"/>
      <c r="P25" s="688" t="s">
        <v>377</v>
      </c>
      <c r="Q25" s="689"/>
      <c r="R25" s="690"/>
      <c r="S25" s="687"/>
      <c r="T25" s="688" t="s">
        <v>377</v>
      </c>
      <c r="U25" s="689"/>
      <c r="V25" s="690"/>
      <c r="W25" s="691">
        <f t="shared" si="0"/>
        <v>0</v>
      </c>
      <c r="X25" s="692"/>
      <c r="Y25" s="687">
        <f t="shared" si="1"/>
        <v>0</v>
      </c>
      <c r="Z25" s="688" t="s">
        <v>377</v>
      </c>
      <c r="AA25" s="693">
        <f t="shared" si="2"/>
        <v>0</v>
      </c>
      <c r="AB25" s="694">
        <f t="shared" si="3"/>
        <v>0</v>
      </c>
      <c r="AC25" s="695"/>
      <c r="AD25" s="676">
        <f t="shared" ca="1" si="6"/>
        <v>190</v>
      </c>
      <c r="AE25" s="829" t="str">
        <f t="shared" si="5"/>
        <v>Boriss Klubov</v>
      </c>
      <c r="AF25" s="830">
        <f ca="1">IFERROR(INDEX(Reit!$I:$I,MATCH(AE25,Reit!$F:$F,0)),"")</f>
        <v>190</v>
      </c>
      <c r="AG25" s="652"/>
    </row>
    <row r="26" spans="1:33" x14ac:dyDescent="0.2">
      <c r="A26" s="685">
        <v>19</v>
      </c>
      <c r="B26" s="686" t="s">
        <v>269</v>
      </c>
      <c r="C26" s="687"/>
      <c r="D26" s="688" t="s">
        <v>377</v>
      </c>
      <c r="E26" s="689"/>
      <c r="F26" s="690"/>
      <c r="G26" s="687"/>
      <c r="H26" s="688" t="s">
        <v>377</v>
      </c>
      <c r="I26" s="689"/>
      <c r="J26" s="690"/>
      <c r="K26" s="687"/>
      <c r="L26" s="688" t="s">
        <v>377</v>
      </c>
      <c r="M26" s="689"/>
      <c r="N26" s="690"/>
      <c r="O26" s="687"/>
      <c r="P26" s="688" t="s">
        <v>377</v>
      </c>
      <c r="Q26" s="689"/>
      <c r="R26" s="690"/>
      <c r="S26" s="687"/>
      <c r="T26" s="688" t="s">
        <v>377</v>
      </c>
      <c r="U26" s="689"/>
      <c r="V26" s="690"/>
      <c r="W26" s="691">
        <f t="shared" si="0"/>
        <v>0</v>
      </c>
      <c r="X26" s="692"/>
      <c r="Y26" s="687">
        <f t="shared" si="1"/>
        <v>0</v>
      </c>
      <c r="Z26" s="688" t="s">
        <v>377</v>
      </c>
      <c r="AA26" s="693">
        <f t="shared" si="2"/>
        <v>0</v>
      </c>
      <c r="AB26" s="694">
        <f t="shared" si="3"/>
        <v>0</v>
      </c>
      <c r="AC26" s="695"/>
      <c r="AD26" s="676">
        <f t="shared" ca="1" si="6"/>
        <v>17</v>
      </c>
      <c r="AE26" s="829" t="str">
        <f t="shared" si="5"/>
        <v>Vladimir Mihhailov</v>
      </c>
      <c r="AF26" s="830">
        <f ca="1">IFERROR(INDEX(Reit!$I:$I,MATCH(AE26,Reit!$F:$F,0)),"")</f>
        <v>17</v>
      </c>
      <c r="AG26" s="652"/>
    </row>
    <row r="27" spans="1:33" x14ac:dyDescent="0.2">
      <c r="A27" s="685">
        <v>20</v>
      </c>
      <c r="B27" s="696" t="s">
        <v>259</v>
      </c>
      <c r="C27" s="687"/>
      <c r="D27" s="688" t="s">
        <v>377</v>
      </c>
      <c r="E27" s="689"/>
      <c r="F27" s="690"/>
      <c r="G27" s="687"/>
      <c r="H27" s="688" t="s">
        <v>377</v>
      </c>
      <c r="I27" s="689"/>
      <c r="J27" s="690"/>
      <c r="K27" s="687"/>
      <c r="L27" s="688" t="s">
        <v>377</v>
      </c>
      <c r="M27" s="689"/>
      <c r="N27" s="690"/>
      <c r="O27" s="687"/>
      <c r="P27" s="688" t="s">
        <v>377</v>
      </c>
      <c r="Q27" s="689"/>
      <c r="R27" s="690"/>
      <c r="S27" s="687"/>
      <c r="T27" s="688" t="s">
        <v>377</v>
      </c>
      <c r="U27" s="689"/>
      <c r="V27" s="690"/>
      <c r="W27" s="691">
        <f t="shared" si="0"/>
        <v>0</v>
      </c>
      <c r="X27" s="692"/>
      <c r="Y27" s="687">
        <f t="shared" si="1"/>
        <v>0</v>
      </c>
      <c r="Z27" s="688" t="s">
        <v>377</v>
      </c>
      <c r="AA27" s="693">
        <f t="shared" si="2"/>
        <v>0</v>
      </c>
      <c r="AB27" s="694">
        <f t="shared" si="3"/>
        <v>0</v>
      </c>
      <c r="AC27" s="695"/>
      <c r="AD27" s="676">
        <f t="shared" ca="1" si="6"/>
        <v>39</v>
      </c>
      <c r="AE27" s="829" t="str">
        <f t="shared" si="5"/>
        <v>Illar Tõnurist</v>
      </c>
      <c r="AF27" s="830">
        <f ca="1">IFERROR(INDEX(Reit!$I:$I,MATCH(AE27,Reit!$F:$F,0)),"")</f>
        <v>39</v>
      </c>
      <c r="AG27" s="652"/>
    </row>
    <row r="28" spans="1:33" x14ac:dyDescent="0.2">
      <c r="A28" s="685">
        <v>21</v>
      </c>
      <c r="B28" s="686" t="s">
        <v>255</v>
      </c>
      <c r="C28" s="687"/>
      <c r="D28" s="688" t="s">
        <v>377</v>
      </c>
      <c r="E28" s="689"/>
      <c r="F28" s="690"/>
      <c r="G28" s="687"/>
      <c r="H28" s="688" t="s">
        <v>377</v>
      </c>
      <c r="I28" s="689"/>
      <c r="J28" s="690"/>
      <c r="K28" s="687"/>
      <c r="L28" s="688" t="s">
        <v>377</v>
      </c>
      <c r="M28" s="689"/>
      <c r="N28" s="690"/>
      <c r="O28" s="687"/>
      <c r="P28" s="688" t="s">
        <v>377</v>
      </c>
      <c r="Q28" s="689"/>
      <c r="R28" s="690"/>
      <c r="S28" s="687"/>
      <c r="T28" s="688" t="s">
        <v>377</v>
      </c>
      <c r="U28" s="689"/>
      <c r="V28" s="690"/>
      <c r="W28" s="691">
        <f t="shared" ref="W28:W33" si="7">IF(C28&gt;E28,J$3,IF(C28&lt;E28,J$5,IF(ISNUMBER(C28),J$4,0)))+IF(G28&gt;I28,J$3,IF(G28&lt;I28,J$5,IF(ISNUMBER(G28),J$4,0)))+IF(K28&gt;M28,J$3,IF(K28&lt;M28,J$5,IF(ISNUMBER(K28),J$4,0)))+IF(O28&gt;Q28,J$3,IF(O28&lt;Q28,J$5,IF(ISNUMBER(O28),J$4,0)))+IF(S28&gt;U28,J$3,IF(S28&lt;U28,J$5,IF(ISNUMBER(S28),J$4,0)))</f>
        <v>0</v>
      </c>
      <c r="X28" s="692"/>
      <c r="Y28" s="687">
        <f t="shared" ref="Y28:Y33" si="8">C28+G28+K28+O28+S28</f>
        <v>0</v>
      </c>
      <c r="Z28" s="688" t="s">
        <v>377</v>
      </c>
      <c r="AA28" s="693">
        <f t="shared" ref="AA28:AA33" si="9">E28+I28+M28+Q28+U28</f>
        <v>0</v>
      </c>
      <c r="AB28" s="694">
        <f t="shared" ref="AB28:AB33" si="10">Y28-AA28</f>
        <v>0</v>
      </c>
      <c r="AC28" s="695"/>
      <c r="AD28" s="676">
        <f t="shared" ca="1" si="6"/>
        <v>51</v>
      </c>
      <c r="AE28" s="829" t="str">
        <f t="shared" si="5"/>
        <v>Jaan Saar</v>
      </c>
      <c r="AF28" s="830">
        <f ca="1">IFERROR(INDEX(Reit!$I:$I,MATCH(AE28,Reit!$F:$F,0)),"")</f>
        <v>51</v>
      </c>
      <c r="AG28" s="652"/>
    </row>
    <row r="29" spans="1:33" x14ac:dyDescent="0.2">
      <c r="A29" s="685">
        <v>22</v>
      </c>
      <c r="B29" s="696" t="s">
        <v>257</v>
      </c>
      <c r="C29" s="687"/>
      <c r="D29" s="688" t="s">
        <v>377</v>
      </c>
      <c r="E29" s="689"/>
      <c r="F29" s="690"/>
      <c r="G29" s="687"/>
      <c r="H29" s="688" t="s">
        <v>377</v>
      </c>
      <c r="I29" s="689"/>
      <c r="J29" s="690"/>
      <c r="K29" s="687"/>
      <c r="L29" s="688" t="s">
        <v>377</v>
      </c>
      <c r="M29" s="689"/>
      <c r="N29" s="690"/>
      <c r="O29" s="687"/>
      <c r="P29" s="688" t="s">
        <v>377</v>
      </c>
      <c r="Q29" s="689"/>
      <c r="R29" s="690"/>
      <c r="S29" s="687"/>
      <c r="T29" s="688" t="s">
        <v>377</v>
      </c>
      <c r="U29" s="689"/>
      <c r="V29" s="690"/>
      <c r="W29" s="691">
        <f t="shared" si="7"/>
        <v>0</v>
      </c>
      <c r="X29" s="692"/>
      <c r="Y29" s="687">
        <f t="shared" si="8"/>
        <v>0</v>
      </c>
      <c r="Z29" s="688" t="s">
        <v>377</v>
      </c>
      <c r="AA29" s="693">
        <f t="shared" si="9"/>
        <v>0</v>
      </c>
      <c r="AB29" s="694">
        <f t="shared" si="10"/>
        <v>0</v>
      </c>
      <c r="AC29" s="695"/>
      <c r="AD29" s="676">
        <f t="shared" ca="1" si="6"/>
        <v>46</v>
      </c>
      <c r="AE29" s="829" t="str">
        <f t="shared" si="5"/>
        <v>Liidia Põllu</v>
      </c>
      <c r="AF29" s="830">
        <f ca="1">IFERROR(INDEX(Reit!$I:$I,MATCH(AE29,Reit!$F:$F,0)),"")</f>
        <v>46</v>
      </c>
      <c r="AG29" s="652"/>
    </row>
    <row r="30" spans="1:33" x14ac:dyDescent="0.2">
      <c r="A30" s="685">
        <v>23</v>
      </c>
      <c r="B30" s="686" t="s">
        <v>250</v>
      </c>
      <c r="C30" s="687"/>
      <c r="D30" s="688" t="s">
        <v>377</v>
      </c>
      <c r="E30" s="689"/>
      <c r="F30" s="690"/>
      <c r="G30" s="687"/>
      <c r="H30" s="688" t="s">
        <v>377</v>
      </c>
      <c r="I30" s="689"/>
      <c r="J30" s="690"/>
      <c r="K30" s="687"/>
      <c r="L30" s="688" t="s">
        <v>377</v>
      </c>
      <c r="M30" s="689"/>
      <c r="N30" s="690"/>
      <c r="O30" s="687"/>
      <c r="P30" s="688" t="s">
        <v>377</v>
      </c>
      <c r="Q30" s="689"/>
      <c r="R30" s="690"/>
      <c r="S30" s="687"/>
      <c r="T30" s="688" t="s">
        <v>377</v>
      </c>
      <c r="U30" s="689"/>
      <c r="V30" s="690"/>
      <c r="W30" s="691">
        <f t="shared" si="7"/>
        <v>0</v>
      </c>
      <c r="X30" s="692"/>
      <c r="Y30" s="687">
        <f t="shared" si="8"/>
        <v>0</v>
      </c>
      <c r="Z30" s="688" t="s">
        <v>377</v>
      </c>
      <c r="AA30" s="693">
        <f t="shared" si="9"/>
        <v>0</v>
      </c>
      <c r="AB30" s="694">
        <f t="shared" si="10"/>
        <v>0</v>
      </c>
      <c r="AC30" s="695"/>
      <c r="AD30" s="676">
        <f t="shared" ca="1" si="6"/>
        <v>57</v>
      </c>
      <c r="AE30" s="829" t="str">
        <f t="shared" si="5"/>
        <v>Sandra Laura Nõmmeloo</v>
      </c>
      <c r="AF30" s="830">
        <f ca="1">IFERROR(INDEX(Reit!$I:$I,MATCH(AE30,Reit!$F:$F,0)),"")</f>
        <v>57</v>
      </c>
      <c r="AG30" s="652"/>
    </row>
    <row r="31" spans="1:33" x14ac:dyDescent="0.2">
      <c r="A31" s="685">
        <v>24</v>
      </c>
      <c r="B31" s="696" t="s">
        <v>230</v>
      </c>
      <c r="C31" s="687"/>
      <c r="D31" s="688" t="s">
        <v>377</v>
      </c>
      <c r="E31" s="689"/>
      <c r="F31" s="690"/>
      <c r="G31" s="687"/>
      <c r="H31" s="688" t="s">
        <v>377</v>
      </c>
      <c r="I31" s="689"/>
      <c r="J31" s="690"/>
      <c r="K31" s="687"/>
      <c r="L31" s="688" t="s">
        <v>377</v>
      </c>
      <c r="M31" s="689"/>
      <c r="N31" s="690"/>
      <c r="O31" s="687"/>
      <c r="P31" s="688" t="s">
        <v>377</v>
      </c>
      <c r="Q31" s="689"/>
      <c r="R31" s="690"/>
      <c r="S31" s="687"/>
      <c r="T31" s="688" t="s">
        <v>377</v>
      </c>
      <c r="U31" s="689"/>
      <c r="V31" s="690"/>
      <c r="W31" s="691">
        <f t="shared" si="7"/>
        <v>0</v>
      </c>
      <c r="X31" s="692"/>
      <c r="Y31" s="687">
        <f t="shared" si="8"/>
        <v>0</v>
      </c>
      <c r="Z31" s="688" t="s">
        <v>377</v>
      </c>
      <c r="AA31" s="693">
        <f t="shared" si="9"/>
        <v>0</v>
      </c>
      <c r="AB31" s="694">
        <f t="shared" si="10"/>
        <v>0</v>
      </c>
      <c r="AC31" s="695"/>
      <c r="AD31" s="676">
        <f t="shared" ca="1" si="6"/>
        <v>196</v>
      </c>
      <c r="AE31" s="829" t="str">
        <f t="shared" si="5"/>
        <v>Aarne Välja</v>
      </c>
      <c r="AF31" s="830">
        <f ca="1">IFERROR(INDEX(Reit!$I:$I,MATCH(AE31,Reit!$F:$F,0)),"")</f>
        <v>196</v>
      </c>
      <c r="AG31" s="652"/>
    </row>
    <row r="32" spans="1:33" x14ac:dyDescent="0.2">
      <c r="A32" s="685">
        <v>25</v>
      </c>
      <c r="B32" s="686" t="s">
        <v>275</v>
      </c>
      <c r="C32" s="687"/>
      <c r="D32" s="688" t="s">
        <v>377</v>
      </c>
      <c r="E32" s="689"/>
      <c r="F32" s="690"/>
      <c r="G32" s="687"/>
      <c r="H32" s="688" t="s">
        <v>377</v>
      </c>
      <c r="I32" s="689"/>
      <c r="J32" s="690"/>
      <c r="K32" s="687"/>
      <c r="L32" s="688" t="s">
        <v>377</v>
      </c>
      <c r="M32" s="689"/>
      <c r="N32" s="690"/>
      <c r="O32" s="687"/>
      <c r="P32" s="688" t="s">
        <v>377</v>
      </c>
      <c r="Q32" s="689"/>
      <c r="R32" s="690"/>
      <c r="S32" s="687"/>
      <c r="T32" s="688" t="s">
        <v>377</v>
      </c>
      <c r="U32" s="689"/>
      <c r="V32" s="690"/>
      <c r="W32" s="691">
        <f t="shared" si="7"/>
        <v>0</v>
      </c>
      <c r="X32" s="692"/>
      <c r="Y32" s="687">
        <f t="shared" si="8"/>
        <v>0</v>
      </c>
      <c r="Z32" s="688" t="s">
        <v>377</v>
      </c>
      <c r="AA32" s="693">
        <f t="shared" si="9"/>
        <v>0</v>
      </c>
      <c r="AB32" s="694">
        <f t="shared" si="10"/>
        <v>0</v>
      </c>
      <c r="AC32" s="695"/>
      <c r="AD32" s="676">
        <f t="shared" ca="1" si="6"/>
        <v>1</v>
      </c>
      <c r="AE32" s="829" t="str">
        <f t="shared" si="5"/>
        <v>Sander Skrabutenas</v>
      </c>
      <c r="AF32" s="830">
        <f ca="1">IFERROR(INDEX(Reit!$I:$I,MATCH(AE32,Reit!$F:$F,0)),"")</f>
        <v>1</v>
      </c>
      <c r="AG32" s="652"/>
    </row>
    <row r="33" spans="1:33" x14ac:dyDescent="0.2">
      <c r="A33" s="685">
        <v>26</v>
      </c>
      <c r="B33" s="696" t="s">
        <v>267</v>
      </c>
      <c r="C33" s="687"/>
      <c r="D33" s="688" t="s">
        <v>377</v>
      </c>
      <c r="E33" s="689"/>
      <c r="F33" s="690"/>
      <c r="G33" s="687"/>
      <c r="H33" s="688" t="s">
        <v>377</v>
      </c>
      <c r="I33" s="689"/>
      <c r="J33" s="690"/>
      <c r="K33" s="687"/>
      <c r="L33" s="688" t="s">
        <v>377</v>
      </c>
      <c r="M33" s="689"/>
      <c r="N33" s="690"/>
      <c r="O33" s="687"/>
      <c r="P33" s="688" t="s">
        <v>377</v>
      </c>
      <c r="Q33" s="689"/>
      <c r="R33" s="690"/>
      <c r="S33" s="687"/>
      <c r="T33" s="688" t="s">
        <v>377</v>
      </c>
      <c r="U33" s="689"/>
      <c r="V33" s="690"/>
      <c r="W33" s="691">
        <f t="shared" si="7"/>
        <v>0</v>
      </c>
      <c r="X33" s="692"/>
      <c r="Y33" s="687">
        <f t="shared" si="8"/>
        <v>0</v>
      </c>
      <c r="Z33" s="688" t="s">
        <v>377</v>
      </c>
      <c r="AA33" s="693">
        <f t="shared" si="9"/>
        <v>0</v>
      </c>
      <c r="AB33" s="694">
        <f t="shared" si="10"/>
        <v>0</v>
      </c>
      <c r="AC33" s="695"/>
      <c r="AD33" s="676">
        <f t="shared" ca="1" si="6"/>
        <v>21</v>
      </c>
      <c r="AE33" s="829" t="str">
        <f t="shared" si="5"/>
        <v>Emil Murzajev</v>
      </c>
      <c r="AF33" s="830">
        <f ca="1">IFERROR(INDEX(Reit!$I:$I,MATCH(AE33,Reit!$F:$F,0)),"")</f>
        <v>21</v>
      </c>
      <c r="AG33" s="652"/>
    </row>
    <row r="34" spans="1:33"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row>
    <row r="35" spans="1:33"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row>
    <row r="36" spans="1:33"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row>
    <row r="37" spans="1:33"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row>
    <row r="38" spans="1:33"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row>
    <row r="39" spans="1:33"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row>
    <row r="40" spans="1:33"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row>
    <row r="41" spans="1:33"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row>
    <row r="42" spans="1:33"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row>
    <row r="43" spans="1:33"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row>
    <row r="44" spans="1:33"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row>
    <row r="45" spans="1:33"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row>
    <row r="46" spans="1:33"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row>
    <row r="47" spans="1:33"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row>
    <row r="48" spans="1:33"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row>
    <row r="49" spans="1:33"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row>
    <row r="50" spans="1:33"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row>
    <row r="51" spans="1:33"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row>
    <row r="52" spans="1:33"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row>
    <row r="53" spans="1:33"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row>
    <row r="54" spans="1:33"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row>
    <row r="55" spans="1:33"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row>
    <row r="56" spans="1:33"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row>
    <row r="57" spans="1:33"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row>
    <row r="58" spans="1:33"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row>
    <row r="59" spans="1:33"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row>
    <row r="60" spans="1:33"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row>
    <row r="61" spans="1:33"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row>
    <row r="62" spans="1:33"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row>
    <row r="63" spans="1:33"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row>
    <row r="64" spans="1:33"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row>
    <row r="65" spans="1:33"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row>
    <row r="66" spans="1:33"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row>
    <row r="67" spans="1:33"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row>
    <row r="68" spans="1:33"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row>
    <row r="69" spans="1:33"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row>
    <row r="70" spans="1:33"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row>
    <row r="71" spans="1:33"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row>
    <row r="72" spans="1:33"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row>
    <row r="73" spans="1:33"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row>
    <row r="74" spans="1:33"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row>
    <row r="75" spans="1:33"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row>
    <row r="76" spans="1:33"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row>
    <row r="77" spans="1:33"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row>
    <row r="78" spans="1:33"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row>
    <row r="79" spans="1:33"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row>
    <row r="80" spans="1:33"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row>
    <row r="81" spans="1:33"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row>
    <row r="82" spans="1:33"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row>
    <row r="83" spans="1:33"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row>
    <row r="84" spans="1:33"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row>
    <row r="85" spans="1:33"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row>
    <row r="86" spans="1:33"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row>
    <row r="87" spans="1:33"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row>
    <row r="88" spans="1:33"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row>
    <row r="89" spans="1:33"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row>
    <row r="90" spans="1:33"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row>
    <row r="91" spans="1:33"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row>
    <row r="92" spans="1:33"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row>
    <row r="93" spans="1:33"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row>
    <row r="94" spans="1:33"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row>
    <row r="95" spans="1:33"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row>
    <row r="96" spans="1:33"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row>
    <row r="97" spans="1:33"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row>
    <row r="98" spans="1:33"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row>
    <row r="99" spans="1:33"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row>
    <row r="100" spans="1:33"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row>
    <row r="101" spans="1:33"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row>
    <row r="102" spans="1:33"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row>
    <row r="103" spans="1:33"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row>
    <row r="104" spans="1:33"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row>
    <row r="105" spans="1:33"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row>
    <row r="106" spans="1:33"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row>
    <row r="107" spans="1:33"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row>
    <row r="108" spans="1:33"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row>
    <row r="109" spans="1:33"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row>
    <row r="110" spans="1:33"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row>
    <row r="111" spans="1:33"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row>
    <row r="112" spans="1:33"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row>
    <row r="113" spans="1:33"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row>
    <row r="114" spans="1:33"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row>
    <row r="115" spans="1:33"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row>
    <row r="116" spans="1:33"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row>
    <row r="117" spans="1:33"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row>
    <row r="118" spans="1:33"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row>
    <row r="119" spans="1:33"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row>
    <row r="120" spans="1:33"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row>
    <row r="121" spans="1:33"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row>
    <row r="122" spans="1:33"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row>
    <row r="123" spans="1:33"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row>
    <row r="124" spans="1:33"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row>
    <row r="125" spans="1:33"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row>
    <row r="126" spans="1:33"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row>
    <row r="127" spans="1:33"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row>
    <row r="128" spans="1:33"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row>
    <row r="129" spans="1:33"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row>
    <row r="130" spans="1:33"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row>
    <row r="131" spans="1:33"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row>
    <row r="132" spans="1:33"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row>
    <row r="133" spans="1:33"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row>
    <row r="134" spans="1:33" hidden="1" x14ac:dyDescent="0.2">
      <c r="A134" s="652"/>
      <c r="B134" s="652"/>
      <c r="C134" s="652"/>
      <c r="D134" s="652"/>
      <c r="E134" s="652"/>
      <c r="F134" s="652"/>
      <c r="G134" s="652"/>
      <c r="H134" s="652"/>
      <c r="I134" s="652"/>
      <c r="J134" s="652"/>
      <c r="K134" s="652"/>
      <c r="L134" s="652"/>
      <c r="M134" s="652"/>
      <c r="N134" s="652"/>
      <c r="O134" s="652"/>
      <c r="P134" s="652"/>
      <c r="Q134" s="652"/>
      <c r="R134" s="652"/>
      <c r="S134" s="652"/>
      <c r="T134" s="652"/>
      <c r="U134" s="652"/>
      <c r="V134" s="652"/>
      <c r="W134" s="652"/>
      <c r="X134" s="652"/>
      <c r="Y134" s="652"/>
      <c r="Z134" s="652"/>
      <c r="AA134" s="652"/>
      <c r="AB134" s="652"/>
      <c r="AC134" s="652"/>
      <c r="AD134" s="652"/>
      <c r="AE134" s="652"/>
      <c r="AF134" s="652"/>
      <c r="AG134" s="652"/>
    </row>
    <row r="135" spans="1:33" hidden="1" x14ac:dyDescent="0.2">
      <c r="A135" s="652"/>
      <c r="B135" s="652"/>
      <c r="C135" s="652"/>
      <c r="D135" s="652"/>
      <c r="E135" s="652"/>
      <c r="F135" s="652"/>
      <c r="G135" s="652"/>
      <c r="H135" s="652"/>
      <c r="I135" s="652"/>
      <c r="J135" s="652"/>
      <c r="K135" s="652"/>
      <c r="L135" s="652"/>
      <c r="M135" s="652"/>
      <c r="N135" s="652"/>
      <c r="O135" s="652"/>
      <c r="P135" s="652"/>
      <c r="Q135" s="652"/>
      <c r="R135" s="652"/>
      <c r="S135" s="652"/>
      <c r="T135" s="652"/>
      <c r="U135" s="652"/>
      <c r="V135" s="652"/>
      <c r="W135" s="652"/>
      <c r="X135" s="652"/>
      <c r="Y135" s="652"/>
      <c r="Z135" s="652"/>
      <c r="AA135" s="652"/>
      <c r="AB135" s="652"/>
      <c r="AC135" s="652"/>
      <c r="AD135" s="652"/>
      <c r="AE135" s="652"/>
      <c r="AF135" s="652"/>
      <c r="AG135" s="652"/>
    </row>
    <row r="136" spans="1:33" hidden="1" x14ac:dyDescent="0.2">
      <c r="A136" s="652"/>
      <c r="B136" s="652"/>
      <c r="C136" s="652"/>
      <c r="D136" s="652"/>
      <c r="E136" s="652"/>
      <c r="F136" s="652"/>
      <c r="G136" s="652"/>
      <c r="H136" s="652"/>
      <c r="I136" s="652"/>
      <c r="J136" s="652"/>
      <c r="K136" s="652"/>
      <c r="L136" s="652"/>
      <c r="M136" s="652"/>
      <c r="N136" s="652"/>
      <c r="O136" s="652"/>
      <c r="P136" s="652"/>
      <c r="Q136" s="652"/>
      <c r="R136" s="652"/>
      <c r="S136" s="652"/>
      <c r="T136" s="652"/>
      <c r="U136" s="652"/>
      <c r="V136" s="652"/>
      <c r="W136" s="652"/>
      <c r="X136" s="652"/>
      <c r="Y136" s="652"/>
      <c r="Z136" s="652"/>
      <c r="AA136" s="652"/>
      <c r="AB136" s="652"/>
      <c r="AC136" s="652"/>
      <c r="AD136" s="652"/>
      <c r="AE136" s="652"/>
      <c r="AF136" s="652"/>
      <c r="AG136" s="652"/>
    </row>
    <row r="137" spans="1:33" hidden="1" x14ac:dyDescent="0.2">
      <c r="A137" s="652"/>
      <c r="B137" s="652"/>
      <c r="C137" s="652"/>
      <c r="D137" s="652"/>
      <c r="E137" s="652"/>
      <c r="F137" s="652"/>
      <c r="G137" s="652"/>
      <c r="H137" s="652"/>
      <c r="I137" s="652"/>
      <c r="J137" s="652"/>
      <c r="K137" s="652"/>
      <c r="L137" s="652"/>
      <c r="M137" s="652"/>
      <c r="N137" s="652"/>
      <c r="O137" s="652"/>
      <c r="P137" s="652"/>
      <c r="Q137" s="652"/>
      <c r="R137" s="652"/>
      <c r="S137" s="652"/>
      <c r="T137" s="652"/>
      <c r="U137" s="652"/>
      <c r="V137" s="652"/>
      <c r="W137" s="652"/>
      <c r="X137" s="652"/>
      <c r="Y137" s="652"/>
      <c r="Z137" s="652"/>
      <c r="AA137" s="652"/>
      <c r="AB137" s="652"/>
      <c r="AC137" s="652"/>
      <c r="AD137" s="652"/>
      <c r="AE137" s="652"/>
      <c r="AF137" s="652"/>
      <c r="AG137" s="652"/>
    </row>
    <row r="138" spans="1:33" hidden="1" x14ac:dyDescent="0.2">
      <c r="A138" s="652"/>
      <c r="B138" s="652"/>
      <c r="C138" s="652"/>
      <c r="D138" s="652"/>
      <c r="E138" s="652"/>
      <c r="F138" s="652"/>
      <c r="G138" s="652"/>
      <c r="H138" s="652"/>
      <c r="I138" s="652"/>
      <c r="J138" s="652"/>
      <c r="K138" s="652"/>
      <c r="L138" s="652"/>
      <c r="M138" s="652"/>
      <c r="N138" s="652"/>
      <c r="O138" s="652"/>
      <c r="P138" s="652"/>
      <c r="Q138" s="652"/>
      <c r="R138" s="652"/>
      <c r="S138" s="652"/>
      <c r="T138" s="652"/>
      <c r="U138" s="652"/>
      <c r="V138" s="652"/>
      <c r="W138" s="652"/>
      <c r="X138" s="652"/>
      <c r="Y138" s="652"/>
      <c r="Z138" s="652"/>
      <c r="AA138" s="652"/>
      <c r="AB138" s="652"/>
      <c r="AC138" s="652"/>
      <c r="AD138" s="652"/>
      <c r="AE138" s="652"/>
      <c r="AF138" s="652"/>
      <c r="AG138" s="652"/>
    </row>
    <row r="139" spans="1:33" hidden="1" x14ac:dyDescent="0.2">
      <c r="A139" s="652"/>
      <c r="B139" s="652"/>
      <c r="C139" s="652"/>
      <c r="D139" s="652"/>
      <c r="E139" s="652"/>
      <c r="F139" s="652"/>
      <c r="G139" s="652"/>
      <c r="H139" s="652"/>
      <c r="I139" s="652"/>
      <c r="J139" s="652"/>
      <c r="K139" s="652"/>
      <c r="L139" s="652"/>
      <c r="M139" s="652"/>
      <c r="N139" s="652"/>
      <c r="O139" s="652"/>
      <c r="P139" s="652"/>
      <c r="Q139" s="652"/>
      <c r="R139" s="652"/>
      <c r="S139" s="652"/>
      <c r="T139" s="652"/>
      <c r="U139" s="652"/>
      <c r="V139" s="652"/>
      <c r="W139" s="652"/>
      <c r="X139" s="652"/>
      <c r="Y139" s="652"/>
      <c r="Z139" s="652"/>
      <c r="AA139" s="652"/>
      <c r="AB139" s="652"/>
      <c r="AC139" s="652"/>
      <c r="AD139" s="652"/>
      <c r="AE139" s="652"/>
      <c r="AF139" s="652"/>
      <c r="AG139" s="652"/>
    </row>
    <row r="140" spans="1:33" hidden="1" x14ac:dyDescent="0.2">
      <c r="A140" s="652"/>
      <c r="B140" s="652"/>
      <c r="C140" s="652"/>
      <c r="D140" s="652"/>
      <c r="E140" s="652"/>
      <c r="F140" s="652"/>
      <c r="G140" s="652"/>
      <c r="H140" s="652"/>
      <c r="I140" s="652"/>
      <c r="J140" s="652"/>
      <c r="K140" s="652"/>
      <c r="L140" s="652"/>
      <c r="M140" s="652"/>
      <c r="N140" s="652"/>
      <c r="O140" s="652"/>
      <c r="P140" s="652"/>
      <c r="Q140" s="652"/>
      <c r="R140" s="652"/>
      <c r="S140" s="652"/>
      <c r="T140" s="652"/>
      <c r="U140" s="652"/>
      <c r="V140" s="652"/>
      <c r="W140" s="652"/>
      <c r="X140" s="652"/>
      <c r="Y140" s="652"/>
      <c r="Z140" s="652"/>
      <c r="AA140" s="652"/>
      <c r="AB140" s="652"/>
      <c r="AC140" s="652"/>
      <c r="AD140" s="652"/>
      <c r="AE140" s="652"/>
      <c r="AF140" s="652"/>
      <c r="AG140" s="652"/>
    </row>
    <row r="141" spans="1:33" hidden="1" x14ac:dyDescent="0.2">
      <c r="A141" s="652"/>
      <c r="B141" s="652"/>
      <c r="C141" s="652"/>
      <c r="D141" s="652"/>
      <c r="E141" s="652"/>
      <c r="F141" s="652"/>
      <c r="G141" s="652"/>
      <c r="H141" s="652"/>
      <c r="I141" s="652"/>
      <c r="J141" s="652"/>
      <c r="K141" s="652"/>
      <c r="L141" s="652"/>
      <c r="M141" s="652"/>
      <c r="N141" s="652"/>
      <c r="O141" s="652"/>
      <c r="P141" s="652"/>
      <c r="Q141" s="652"/>
      <c r="R141" s="652"/>
      <c r="S141" s="652"/>
      <c r="T141" s="652"/>
      <c r="U141" s="652"/>
      <c r="V141" s="652"/>
      <c r="W141" s="652"/>
      <c r="X141" s="652"/>
      <c r="Y141" s="652"/>
      <c r="Z141" s="652"/>
      <c r="AA141" s="652"/>
      <c r="AB141" s="652"/>
      <c r="AC141" s="652"/>
      <c r="AD141" s="652"/>
      <c r="AE141" s="652"/>
      <c r="AF141" s="652"/>
      <c r="AG141" s="652"/>
    </row>
    <row r="142" spans="1:33" hidden="1" x14ac:dyDescent="0.2">
      <c r="A142" s="652"/>
      <c r="B142" s="652"/>
      <c r="C142" s="652"/>
      <c r="D142" s="652"/>
      <c r="E142" s="652"/>
      <c r="F142" s="652"/>
      <c r="G142" s="652"/>
      <c r="H142" s="652"/>
      <c r="I142" s="652"/>
      <c r="J142" s="652"/>
      <c r="K142" s="652"/>
      <c r="L142" s="652"/>
      <c r="M142" s="652"/>
      <c r="N142" s="652"/>
      <c r="O142" s="652"/>
      <c r="P142" s="652"/>
      <c r="Q142" s="652"/>
      <c r="R142" s="652"/>
      <c r="S142" s="652"/>
      <c r="T142" s="652"/>
      <c r="U142" s="652"/>
      <c r="V142" s="652"/>
      <c r="W142" s="652"/>
      <c r="X142" s="652"/>
      <c r="Y142" s="652"/>
      <c r="Z142" s="652"/>
      <c r="AA142" s="652"/>
      <c r="AB142" s="652"/>
      <c r="AC142" s="652"/>
      <c r="AD142" s="652"/>
      <c r="AE142" s="652"/>
      <c r="AF142" s="652"/>
      <c r="AG142" s="652"/>
    </row>
    <row r="143" spans="1:33" hidden="1" x14ac:dyDescent="0.2">
      <c r="A143" s="652"/>
      <c r="B143" s="652"/>
      <c r="C143" s="652"/>
      <c r="D143" s="652"/>
      <c r="E143" s="652"/>
      <c r="F143" s="652"/>
      <c r="G143" s="652"/>
      <c r="H143" s="652"/>
      <c r="I143" s="652"/>
      <c r="J143" s="652"/>
      <c r="K143" s="652"/>
      <c r="L143" s="652"/>
      <c r="M143" s="652"/>
      <c r="N143" s="652"/>
      <c r="O143" s="652"/>
      <c r="P143" s="652"/>
      <c r="Q143" s="652"/>
      <c r="R143" s="652"/>
      <c r="S143" s="652"/>
      <c r="T143" s="652"/>
      <c r="U143" s="652"/>
      <c r="V143" s="652"/>
      <c r="W143" s="652"/>
      <c r="X143" s="652"/>
      <c r="Y143" s="652"/>
      <c r="Z143" s="652"/>
      <c r="AA143" s="652"/>
      <c r="AB143" s="652"/>
      <c r="AC143" s="652"/>
      <c r="AD143" s="652"/>
      <c r="AE143" s="652"/>
      <c r="AF143" s="652"/>
      <c r="AG143" s="652"/>
    </row>
    <row r="144" spans="1:33" hidden="1" x14ac:dyDescent="0.2">
      <c r="A144" s="652"/>
      <c r="B144" s="652"/>
      <c r="C144" s="652"/>
      <c r="D144" s="652"/>
      <c r="E144" s="652"/>
      <c r="F144" s="652"/>
      <c r="G144" s="652"/>
      <c r="H144" s="652"/>
      <c r="I144" s="652"/>
      <c r="J144" s="652"/>
      <c r="K144" s="652"/>
      <c r="L144" s="652"/>
      <c r="M144" s="652"/>
      <c r="N144" s="652"/>
      <c r="O144" s="652"/>
      <c r="P144" s="652"/>
      <c r="Q144" s="652"/>
      <c r="R144" s="652"/>
      <c r="S144" s="652"/>
      <c r="T144" s="652"/>
      <c r="U144" s="652"/>
      <c r="V144" s="652"/>
      <c r="W144" s="652"/>
      <c r="X144" s="652"/>
      <c r="Y144" s="652"/>
      <c r="Z144" s="652"/>
      <c r="AA144" s="652"/>
      <c r="AB144" s="652"/>
      <c r="AC144" s="652"/>
      <c r="AD144" s="652"/>
      <c r="AE144" s="652"/>
      <c r="AF144" s="652"/>
      <c r="AG144" s="652"/>
    </row>
    <row r="145" spans="1:33" hidden="1" x14ac:dyDescent="0.2">
      <c r="A145" s="652"/>
      <c r="B145" s="652"/>
      <c r="C145" s="652"/>
      <c r="D145" s="652"/>
      <c r="E145" s="652"/>
      <c r="F145" s="652"/>
      <c r="G145" s="652"/>
      <c r="H145" s="652"/>
      <c r="I145" s="652"/>
      <c r="J145" s="652"/>
      <c r="K145" s="652"/>
      <c r="L145" s="652"/>
      <c r="M145" s="652"/>
      <c r="N145" s="652"/>
      <c r="O145" s="652"/>
      <c r="P145" s="652"/>
      <c r="Q145" s="652"/>
      <c r="R145" s="652"/>
      <c r="S145" s="652"/>
      <c r="T145" s="652"/>
      <c r="U145" s="652"/>
      <c r="V145" s="652"/>
      <c r="W145" s="652"/>
      <c r="X145" s="652"/>
      <c r="Y145" s="652"/>
      <c r="Z145" s="652"/>
      <c r="AA145" s="652"/>
      <c r="AB145" s="652"/>
      <c r="AC145" s="652"/>
      <c r="AD145" s="652"/>
      <c r="AE145" s="652"/>
      <c r="AF145" s="652"/>
      <c r="AG145" s="652"/>
    </row>
    <row r="146" spans="1:33" hidden="1" x14ac:dyDescent="0.2">
      <c r="A146" s="652"/>
      <c r="B146" s="652"/>
      <c r="C146" s="652"/>
      <c r="D146" s="652"/>
      <c r="E146" s="652"/>
      <c r="F146" s="652"/>
      <c r="G146" s="652"/>
      <c r="H146" s="652"/>
      <c r="I146" s="652"/>
      <c r="J146" s="652"/>
      <c r="K146" s="652"/>
      <c r="L146" s="652"/>
      <c r="M146" s="652"/>
      <c r="N146" s="652"/>
      <c r="O146" s="652"/>
      <c r="P146" s="652"/>
      <c r="Q146" s="652"/>
      <c r="R146" s="652"/>
      <c r="S146" s="652"/>
      <c r="T146" s="652"/>
      <c r="U146" s="652"/>
      <c r="V146" s="652"/>
      <c r="W146" s="652"/>
      <c r="X146" s="652"/>
      <c r="Y146" s="652"/>
      <c r="Z146" s="652"/>
      <c r="AA146" s="652"/>
      <c r="AB146" s="652"/>
      <c r="AC146" s="652"/>
      <c r="AD146" s="652"/>
      <c r="AE146" s="652"/>
      <c r="AF146" s="652"/>
      <c r="AG146" s="652"/>
    </row>
    <row r="147" spans="1:33"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row>
    <row r="148" spans="1:33"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row>
    <row r="149" spans="1:33"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row>
    <row r="150" spans="1:33" hidden="1" x14ac:dyDescent="0.2">
      <c r="A150" s="652"/>
      <c r="B150" s="652"/>
      <c r="C150" s="652"/>
      <c r="D150" s="652"/>
      <c r="E150" s="652"/>
      <c r="F150" s="652"/>
      <c r="G150" s="652"/>
      <c r="H150" s="652"/>
      <c r="I150" s="652"/>
      <c r="J150" s="652"/>
      <c r="K150" s="652"/>
      <c r="L150" s="657"/>
      <c r="M150" s="657"/>
      <c r="N150" s="657"/>
      <c r="O150" s="652"/>
      <c r="P150" s="652"/>
      <c r="Q150" s="652"/>
      <c r="R150" s="652"/>
      <c r="S150" s="652"/>
      <c r="T150" s="657"/>
      <c r="U150" s="657"/>
      <c r="V150" s="657"/>
      <c r="W150" s="652"/>
      <c r="X150" s="652"/>
      <c r="Y150" s="652"/>
      <c r="Z150" s="652"/>
      <c r="AA150" s="652"/>
      <c r="AB150" s="652"/>
      <c r="AC150" s="652"/>
      <c r="AD150" s="652"/>
      <c r="AE150" s="652"/>
      <c r="AF150" s="652"/>
      <c r="AG150" s="652"/>
    </row>
    <row r="151" spans="1:33" hidden="1" x14ac:dyDescent="0.2">
      <c r="A151" s="652"/>
      <c r="B151" s="652"/>
      <c r="C151" s="652"/>
      <c r="D151" s="652"/>
      <c r="E151" s="652"/>
      <c r="F151" s="652"/>
      <c r="G151" s="652"/>
      <c r="H151" s="652"/>
      <c r="I151" s="652"/>
      <c r="J151" s="652"/>
      <c r="K151" s="652"/>
      <c r="L151" s="657"/>
      <c r="M151" s="657"/>
      <c r="N151" s="657"/>
      <c r="O151" s="652"/>
      <c r="P151" s="652"/>
      <c r="Q151" s="652"/>
      <c r="R151" s="652"/>
      <c r="S151" s="652"/>
      <c r="T151" s="657"/>
      <c r="U151" s="657"/>
      <c r="V151" s="657"/>
      <c r="W151" s="652"/>
      <c r="X151" s="652"/>
      <c r="Y151" s="652"/>
      <c r="Z151" s="652"/>
      <c r="AA151" s="652"/>
      <c r="AB151" s="652"/>
      <c r="AC151" s="652"/>
      <c r="AD151" s="652"/>
      <c r="AE151" s="652"/>
      <c r="AF151" s="652"/>
      <c r="AG151" s="652"/>
    </row>
    <row r="152" spans="1:33" hidden="1" x14ac:dyDescent="0.2">
      <c r="A152" s="652"/>
      <c r="B152" s="652"/>
      <c r="C152" s="652"/>
      <c r="D152" s="652"/>
      <c r="E152" s="652"/>
      <c r="F152" s="652"/>
      <c r="G152" s="652"/>
      <c r="H152" s="652"/>
      <c r="I152" s="652"/>
      <c r="J152" s="652"/>
      <c r="K152" s="652"/>
      <c r="L152" s="657"/>
      <c r="M152" s="657"/>
      <c r="N152" s="657"/>
      <c r="O152" s="652"/>
      <c r="P152" s="652"/>
      <c r="Q152" s="652"/>
      <c r="R152" s="652"/>
      <c r="S152" s="652"/>
      <c r="T152" s="657"/>
      <c r="U152" s="657"/>
      <c r="V152" s="657"/>
      <c r="W152" s="652"/>
      <c r="X152" s="652"/>
      <c r="Y152" s="652"/>
      <c r="Z152" s="652"/>
      <c r="AA152" s="652"/>
      <c r="AB152" s="652"/>
      <c r="AC152" s="652"/>
      <c r="AD152" s="652"/>
      <c r="AE152" s="652"/>
      <c r="AF152" s="652"/>
      <c r="AG152" s="652"/>
    </row>
    <row r="153" spans="1:33" hidden="1" x14ac:dyDescent="0.2">
      <c r="A153" s="652"/>
      <c r="B153" s="652"/>
      <c r="C153" s="652"/>
      <c r="D153" s="652"/>
      <c r="E153" s="652"/>
      <c r="F153" s="652"/>
      <c r="G153" s="652"/>
      <c r="H153" s="652"/>
      <c r="I153" s="652"/>
      <c r="J153" s="652"/>
      <c r="K153" s="652"/>
      <c r="L153" s="657"/>
      <c r="M153" s="657"/>
      <c r="N153" s="657"/>
      <c r="O153" s="652"/>
      <c r="P153" s="652"/>
      <c r="Q153" s="652"/>
      <c r="R153" s="652"/>
      <c r="S153" s="652"/>
      <c r="T153" s="657"/>
      <c r="U153" s="657"/>
      <c r="V153" s="657"/>
      <c r="W153" s="652"/>
      <c r="X153" s="652"/>
      <c r="Y153" s="652"/>
      <c r="Z153" s="652"/>
      <c r="AA153" s="652"/>
      <c r="AB153" s="652"/>
      <c r="AC153" s="652"/>
      <c r="AD153" s="652"/>
      <c r="AE153" s="652"/>
      <c r="AF153" s="652"/>
      <c r="AG153" s="652"/>
    </row>
    <row r="154" spans="1:33" hidden="1" x14ac:dyDescent="0.2">
      <c r="A154" s="652"/>
      <c r="B154" s="652"/>
      <c r="C154" s="652"/>
      <c r="D154" s="652"/>
      <c r="E154" s="652"/>
      <c r="F154" s="652"/>
      <c r="G154" s="652"/>
      <c r="H154" s="652"/>
      <c r="I154" s="652"/>
      <c r="J154" s="652"/>
      <c r="K154" s="652"/>
      <c r="L154" s="657"/>
      <c r="M154" s="657"/>
      <c r="N154" s="657"/>
      <c r="O154" s="652"/>
      <c r="P154" s="652"/>
      <c r="Q154" s="652"/>
      <c r="R154" s="652"/>
      <c r="S154" s="652"/>
      <c r="T154" s="657"/>
      <c r="U154" s="657"/>
      <c r="V154" s="657"/>
      <c r="W154" s="652"/>
      <c r="X154" s="652"/>
      <c r="Y154" s="652"/>
      <c r="Z154" s="652"/>
      <c r="AA154" s="652"/>
      <c r="AB154" s="652"/>
      <c r="AC154" s="652"/>
      <c r="AD154" s="652"/>
      <c r="AE154" s="652"/>
      <c r="AF154" s="652"/>
      <c r="AG154" s="652"/>
    </row>
    <row r="155" spans="1:33" hidden="1" x14ac:dyDescent="0.2">
      <c r="A155" s="652"/>
      <c r="B155" s="652"/>
      <c r="C155" s="652"/>
      <c r="D155" s="652"/>
      <c r="E155" s="652"/>
      <c r="F155" s="652"/>
      <c r="G155" s="652"/>
      <c r="H155" s="652"/>
      <c r="I155" s="652"/>
      <c r="J155" s="652"/>
      <c r="K155" s="652"/>
      <c r="L155" s="657"/>
      <c r="M155" s="657"/>
      <c r="N155" s="657"/>
      <c r="O155" s="652"/>
      <c r="P155" s="652"/>
      <c r="Q155" s="652"/>
      <c r="R155" s="652"/>
      <c r="S155" s="652"/>
      <c r="T155" s="657"/>
      <c r="U155" s="657"/>
      <c r="V155" s="657"/>
      <c r="W155" s="652"/>
      <c r="X155" s="652"/>
      <c r="Y155" s="652"/>
      <c r="Z155" s="652"/>
      <c r="AA155" s="652"/>
      <c r="AB155" s="652"/>
      <c r="AC155" s="652"/>
      <c r="AD155" s="652"/>
      <c r="AE155" s="652"/>
      <c r="AF155" s="652"/>
      <c r="AG155" s="652"/>
    </row>
    <row r="156" spans="1:33" hidden="1" x14ac:dyDescent="0.2">
      <c r="A156" s="652"/>
      <c r="B156" s="652"/>
      <c r="C156" s="652"/>
      <c r="D156" s="652"/>
      <c r="E156" s="652"/>
      <c r="F156" s="652"/>
      <c r="G156" s="652"/>
      <c r="H156" s="652"/>
      <c r="I156" s="652"/>
      <c r="J156" s="652"/>
      <c r="K156" s="652"/>
      <c r="L156" s="657"/>
      <c r="M156" s="657"/>
      <c r="N156" s="657"/>
      <c r="O156" s="652"/>
      <c r="P156" s="652"/>
      <c r="Q156" s="652"/>
      <c r="R156" s="652"/>
      <c r="S156" s="652"/>
      <c r="T156" s="657"/>
      <c r="U156" s="657"/>
      <c r="V156" s="657"/>
      <c r="W156" s="652"/>
      <c r="X156" s="652"/>
      <c r="Y156" s="652"/>
      <c r="Z156" s="652"/>
      <c r="AA156" s="652"/>
      <c r="AB156" s="652"/>
      <c r="AC156" s="652"/>
      <c r="AD156" s="652"/>
      <c r="AE156" s="652"/>
      <c r="AF156" s="652"/>
      <c r="AG156" s="652"/>
    </row>
    <row r="157" spans="1:33" hidden="1" x14ac:dyDescent="0.2">
      <c r="A157" s="652"/>
      <c r="B157" s="652"/>
      <c r="C157" s="652"/>
      <c r="D157" s="652"/>
      <c r="E157" s="652"/>
      <c r="F157" s="652"/>
      <c r="G157" s="652"/>
      <c r="H157" s="652"/>
      <c r="I157" s="652"/>
      <c r="J157" s="652"/>
      <c r="K157" s="652"/>
      <c r="L157" s="657"/>
      <c r="M157" s="657"/>
      <c r="N157" s="657"/>
      <c r="O157" s="652"/>
      <c r="P157" s="652"/>
      <c r="Q157" s="652"/>
      <c r="R157" s="652"/>
      <c r="S157" s="652"/>
      <c r="T157" s="657"/>
      <c r="U157" s="657"/>
      <c r="V157" s="657"/>
      <c r="W157" s="652"/>
      <c r="X157" s="652"/>
      <c r="Y157" s="652"/>
      <c r="Z157" s="652"/>
      <c r="AA157" s="652"/>
      <c r="AB157" s="652"/>
      <c r="AC157" s="652"/>
      <c r="AD157" s="652"/>
      <c r="AE157" s="652"/>
      <c r="AF157" s="652"/>
      <c r="AG157" s="652"/>
    </row>
    <row r="158" spans="1:33" hidden="1" x14ac:dyDescent="0.2">
      <c r="A158" s="652"/>
      <c r="B158" s="652"/>
      <c r="C158" s="652"/>
      <c r="D158" s="652"/>
      <c r="E158" s="652"/>
      <c r="F158" s="652"/>
      <c r="G158" s="652"/>
      <c r="H158" s="652"/>
      <c r="I158" s="652"/>
      <c r="J158" s="652"/>
      <c r="K158" s="652"/>
      <c r="L158" s="657"/>
      <c r="M158" s="657"/>
      <c r="N158" s="657"/>
      <c r="O158" s="652"/>
      <c r="P158" s="652"/>
      <c r="Q158" s="652"/>
      <c r="R158" s="652"/>
      <c r="S158" s="652"/>
      <c r="T158" s="657"/>
      <c r="U158" s="657"/>
      <c r="V158" s="657"/>
      <c r="W158" s="652"/>
      <c r="X158" s="652"/>
      <c r="Y158" s="652"/>
      <c r="Z158" s="652"/>
      <c r="AA158" s="652"/>
      <c r="AB158" s="652"/>
      <c r="AC158" s="652"/>
      <c r="AD158" s="652"/>
      <c r="AE158" s="652"/>
      <c r="AF158" s="652"/>
      <c r="AG158" s="652"/>
    </row>
    <row r="159" spans="1:33" hidden="1" x14ac:dyDescent="0.2">
      <c r="A159" s="652"/>
      <c r="B159" s="652"/>
      <c r="C159" s="652"/>
      <c r="D159" s="652"/>
      <c r="E159" s="652"/>
      <c r="F159" s="652"/>
      <c r="G159" s="652"/>
      <c r="H159" s="652"/>
      <c r="I159" s="652"/>
      <c r="J159" s="652"/>
      <c r="K159" s="652"/>
      <c r="L159" s="657"/>
      <c r="M159" s="657"/>
      <c r="N159" s="657"/>
      <c r="O159" s="652"/>
      <c r="P159" s="652"/>
      <c r="Q159" s="652"/>
      <c r="R159" s="652"/>
      <c r="S159" s="652"/>
      <c r="T159" s="657"/>
      <c r="U159" s="657"/>
      <c r="V159" s="657"/>
      <c r="W159" s="652"/>
      <c r="X159" s="652"/>
      <c r="Y159" s="652"/>
      <c r="Z159" s="652"/>
      <c r="AA159" s="652"/>
      <c r="AB159" s="652"/>
      <c r="AC159" s="652"/>
      <c r="AD159" s="652"/>
      <c r="AE159" s="652"/>
      <c r="AF159" s="652"/>
      <c r="AG159" s="652"/>
    </row>
    <row r="160" spans="1:33" hidden="1" x14ac:dyDescent="0.2">
      <c r="A160" s="652"/>
      <c r="B160" s="652"/>
      <c r="C160" s="652"/>
      <c r="D160" s="652"/>
      <c r="E160" s="652"/>
      <c r="F160" s="652"/>
      <c r="G160" s="652"/>
      <c r="H160" s="652"/>
      <c r="I160" s="652"/>
      <c r="J160" s="652"/>
      <c r="K160" s="652"/>
      <c r="L160" s="657"/>
      <c r="M160" s="657"/>
      <c r="N160" s="657"/>
      <c r="O160" s="652"/>
      <c r="P160" s="652"/>
      <c r="Q160" s="652"/>
      <c r="R160" s="652"/>
      <c r="S160" s="652"/>
      <c r="T160" s="657"/>
      <c r="U160" s="657"/>
      <c r="V160" s="657"/>
      <c r="W160" s="652"/>
      <c r="X160" s="652"/>
      <c r="Y160" s="652"/>
      <c r="Z160" s="652"/>
      <c r="AA160" s="652"/>
      <c r="AB160" s="652"/>
      <c r="AC160" s="652"/>
      <c r="AD160" s="652"/>
      <c r="AE160" s="652"/>
      <c r="AF160" s="652"/>
      <c r="AG160" s="652"/>
    </row>
    <row r="161" spans="1:33" hidden="1" x14ac:dyDescent="0.2">
      <c r="A161" s="652"/>
      <c r="B161" s="652"/>
      <c r="C161" s="652"/>
      <c r="D161" s="652"/>
      <c r="E161" s="652"/>
      <c r="F161" s="652"/>
      <c r="G161" s="652"/>
      <c r="H161" s="652"/>
      <c r="I161" s="652"/>
      <c r="J161" s="652"/>
      <c r="K161" s="652"/>
      <c r="L161" s="657"/>
      <c r="M161" s="657"/>
      <c r="N161" s="657"/>
      <c r="O161" s="652"/>
      <c r="P161" s="652"/>
      <c r="Q161" s="652"/>
      <c r="R161" s="652"/>
      <c r="S161" s="652"/>
      <c r="T161" s="657"/>
      <c r="U161" s="657"/>
      <c r="V161" s="657"/>
      <c r="W161" s="652"/>
      <c r="X161" s="652"/>
      <c r="Y161" s="652"/>
      <c r="Z161" s="652"/>
      <c r="AA161" s="652"/>
      <c r="AB161" s="652"/>
      <c r="AC161" s="652"/>
      <c r="AD161" s="652"/>
      <c r="AE161" s="652"/>
      <c r="AF161" s="652"/>
      <c r="AG161" s="652"/>
    </row>
    <row r="162" spans="1:33" hidden="1" x14ac:dyDescent="0.2">
      <c r="A162" s="652"/>
      <c r="B162" s="652"/>
      <c r="C162" s="652"/>
      <c r="D162" s="652"/>
      <c r="E162" s="652"/>
      <c r="F162" s="652"/>
      <c r="G162" s="652"/>
      <c r="H162" s="652"/>
      <c r="I162" s="652"/>
      <c r="J162" s="652"/>
      <c r="K162" s="652"/>
      <c r="L162" s="657"/>
      <c r="M162" s="657"/>
      <c r="N162" s="657"/>
      <c r="O162" s="652"/>
      <c r="P162" s="652"/>
      <c r="Q162" s="652"/>
      <c r="R162" s="652"/>
      <c r="S162" s="652"/>
      <c r="T162" s="657"/>
      <c r="U162" s="657"/>
      <c r="V162" s="657"/>
      <c r="W162" s="652"/>
      <c r="X162" s="652"/>
      <c r="Y162" s="652"/>
      <c r="Z162" s="652"/>
      <c r="AA162" s="652"/>
      <c r="AB162" s="652"/>
      <c r="AC162" s="652"/>
      <c r="AD162" s="652"/>
      <c r="AE162" s="652"/>
      <c r="AF162" s="652"/>
      <c r="AG162" s="652"/>
    </row>
    <row r="163" spans="1:33" hidden="1" x14ac:dyDescent="0.2">
      <c r="A163" s="652"/>
      <c r="B163" s="652"/>
      <c r="C163" s="652"/>
      <c r="D163" s="652"/>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52"/>
      <c r="AE163" s="652"/>
      <c r="AF163" s="652"/>
      <c r="AG163" s="652"/>
    </row>
    <row r="164" spans="1:33" hidden="1" x14ac:dyDescent="0.2">
      <c r="A164" s="652"/>
      <c r="B164" s="652"/>
      <c r="C164" s="652"/>
      <c r="D164" s="652"/>
      <c r="E164" s="652"/>
      <c r="F164" s="652"/>
      <c r="G164" s="652"/>
      <c r="H164" s="652"/>
      <c r="I164" s="652"/>
      <c r="J164" s="652"/>
      <c r="K164" s="652"/>
      <c r="L164" s="652"/>
      <c r="M164" s="652"/>
      <c r="N164" s="652"/>
      <c r="O164" s="652"/>
      <c r="P164" s="652"/>
      <c r="Q164" s="652"/>
      <c r="R164" s="652"/>
      <c r="S164" s="652"/>
      <c r="T164" s="652"/>
      <c r="U164" s="652"/>
      <c r="V164" s="652"/>
      <c r="W164" s="652"/>
      <c r="X164" s="652"/>
      <c r="Y164" s="652"/>
      <c r="Z164" s="652"/>
      <c r="AA164" s="652"/>
      <c r="AB164" s="652"/>
      <c r="AC164" s="652"/>
      <c r="AD164" s="652"/>
      <c r="AE164" s="652"/>
      <c r="AF164" s="652"/>
      <c r="AG164" s="652"/>
    </row>
    <row r="165" spans="1:33" hidden="1" x14ac:dyDescent="0.2">
      <c r="A165" s="652"/>
      <c r="B165" s="652"/>
      <c r="C165" s="652"/>
      <c r="D165" s="652"/>
      <c r="E165" s="652"/>
      <c r="F165" s="652"/>
      <c r="G165" s="652"/>
      <c r="H165" s="652"/>
      <c r="I165" s="652"/>
      <c r="J165" s="652"/>
      <c r="K165" s="652"/>
      <c r="L165" s="652"/>
      <c r="M165" s="652"/>
      <c r="N165" s="652"/>
      <c r="O165" s="652"/>
      <c r="P165" s="652"/>
      <c r="Q165" s="652"/>
      <c r="R165" s="652"/>
      <c r="S165" s="652"/>
      <c r="T165" s="652"/>
      <c r="U165" s="652"/>
      <c r="V165" s="652"/>
      <c r="W165" s="652"/>
      <c r="X165" s="652"/>
      <c r="Y165" s="652"/>
      <c r="Z165" s="652"/>
      <c r="AA165" s="652"/>
      <c r="AB165" s="652"/>
      <c r="AC165" s="652"/>
      <c r="AD165" s="652"/>
      <c r="AE165" s="652"/>
      <c r="AF165" s="652"/>
      <c r="AG165" s="652"/>
    </row>
    <row r="166" spans="1:33" hidden="1" x14ac:dyDescent="0.2">
      <c r="A166" s="652"/>
      <c r="B166" s="652"/>
      <c r="C166" s="652"/>
      <c r="D166" s="652"/>
      <c r="E166" s="652"/>
      <c r="F166" s="652"/>
      <c r="G166" s="652"/>
      <c r="H166" s="652"/>
      <c r="I166" s="652"/>
      <c r="J166" s="652"/>
      <c r="K166" s="652"/>
      <c r="L166" s="652"/>
      <c r="M166" s="652"/>
      <c r="N166" s="652"/>
      <c r="O166" s="652"/>
      <c r="P166" s="652"/>
      <c r="Q166" s="652"/>
      <c r="R166" s="652"/>
      <c r="S166" s="652"/>
      <c r="T166" s="652"/>
      <c r="U166" s="652"/>
      <c r="V166" s="652"/>
      <c r="W166" s="652"/>
      <c r="X166" s="652"/>
      <c r="Y166" s="652"/>
      <c r="Z166" s="652"/>
      <c r="AA166" s="652"/>
      <c r="AB166" s="652"/>
      <c r="AC166" s="652"/>
      <c r="AD166" s="652"/>
      <c r="AE166" s="652"/>
      <c r="AF166" s="652"/>
      <c r="AG166" s="652"/>
    </row>
    <row r="167" spans="1:33" hidden="1" x14ac:dyDescent="0.2">
      <c r="A167" s="652"/>
      <c r="B167" s="652"/>
      <c r="C167" s="652"/>
      <c r="D167" s="652"/>
      <c r="E167" s="652"/>
      <c r="F167" s="652"/>
      <c r="G167" s="652"/>
      <c r="H167" s="652"/>
      <c r="I167" s="652"/>
      <c r="J167" s="652"/>
      <c r="K167" s="652"/>
      <c r="L167" s="652"/>
      <c r="M167" s="652"/>
      <c r="N167" s="652"/>
      <c r="O167" s="652"/>
      <c r="P167" s="652"/>
      <c r="Q167" s="652"/>
      <c r="R167" s="652"/>
      <c r="S167" s="652"/>
      <c r="T167" s="652"/>
      <c r="U167" s="652"/>
      <c r="V167" s="652"/>
      <c r="W167" s="652"/>
      <c r="X167" s="652"/>
      <c r="Y167" s="652"/>
      <c r="Z167" s="652"/>
      <c r="AA167" s="652"/>
      <c r="AB167" s="652"/>
      <c r="AC167" s="652"/>
      <c r="AD167" s="652"/>
      <c r="AE167" s="652"/>
      <c r="AF167" s="652"/>
      <c r="AG167" s="652"/>
    </row>
    <row r="168" spans="1:33" hidden="1" x14ac:dyDescent="0.2">
      <c r="A168" s="652"/>
      <c r="B168" s="652"/>
      <c r="C168" s="652"/>
      <c r="D168" s="652"/>
      <c r="E168" s="652"/>
      <c r="F168" s="652"/>
      <c r="G168" s="652"/>
      <c r="H168" s="652"/>
      <c r="I168" s="652"/>
      <c r="J168" s="652"/>
      <c r="K168" s="652"/>
      <c r="L168" s="652"/>
      <c r="M168" s="652"/>
      <c r="N168" s="652"/>
      <c r="O168" s="652"/>
      <c r="P168" s="652"/>
      <c r="Q168" s="652"/>
      <c r="R168" s="652"/>
      <c r="S168" s="652"/>
      <c r="T168" s="652"/>
      <c r="U168" s="652"/>
      <c r="V168" s="652"/>
      <c r="W168" s="652"/>
      <c r="X168" s="652"/>
      <c r="Y168" s="652"/>
      <c r="Z168" s="652"/>
      <c r="AA168" s="652"/>
      <c r="AB168" s="652"/>
      <c r="AC168" s="652"/>
      <c r="AD168" s="652"/>
      <c r="AE168" s="652"/>
      <c r="AF168" s="652"/>
      <c r="AG168" s="652"/>
    </row>
    <row r="169" spans="1:33" hidden="1" x14ac:dyDescent="0.2">
      <c r="A169" s="652"/>
      <c r="B169" s="652"/>
      <c r="C169" s="652"/>
      <c r="D169" s="652"/>
      <c r="E169" s="652"/>
      <c r="F169" s="652"/>
      <c r="G169" s="652"/>
      <c r="H169" s="652"/>
      <c r="I169" s="652"/>
      <c r="J169" s="652"/>
      <c r="K169" s="652"/>
      <c r="L169" s="652"/>
      <c r="M169" s="652"/>
      <c r="N169" s="652"/>
      <c r="O169" s="652"/>
      <c r="P169" s="652"/>
      <c r="Q169" s="652"/>
      <c r="R169" s="652"/>
      <c r="S169" s="652"/>
      <c r="T169" s="652"/>
      <c r="U169" s="652"/>
      <c r="V169" s="652"/>
      <c r="W169" s="652"/>
      <c r="X169" s="652"/>
      <c r="Y169" s="652"/>
      <c r="Z169" s="652"/>
      <c r="AA169" s="652"/>
      <c r="AB169" s="652"/>
      <c r="AC169" s="652"/>
      <c r="AD169" s="652"/>
      <c r="AE169" s="652"/>
      <c r="AF169" s="652"/>
      <c r="AG169" s="652"/>
    </row>
    <row r="170" spans="1:33" hidden="1" x14ac:dyDescent="0.2">
      <c r="A170" s="652"/>
      <c r="B170" s="652"/>
      <c r="C170" s="652"/>
      <c r="D170" s="652"/>
      <c r="E170" s="652"/>
      <c r="F170" s="652"/>
      <c r="G170" s="652"/>
      <c r="H170" s="652"/>
      <c r="I170" s="652"/>
      <c r="J170" s="652"/>
      <c r="K170" s="652"/>
      <c r="L170" s="652"/>
      <c r="M170" s="652"/>
      <c r="N170" s="652"/>
      <c r="O170" s="652"/>
      <c r="P170" s="652"/>
      <c r="Q170" s="652"/>
      <c r="R170" s="652"/>
      <c r="S170" s="652"/>
      <c r="T170" s="652"/>
      <c r="U170" s="652"/>
      <c r="V170" s="652"/>
      <c r="W170" s="652"/>
      <c r="X170" s="652"/>
      <c r="Y170" s="652"/>
      <c r="Z170" s="652"/>
      <c r="AA170" s="652"/>
      <c r="AB170" s="652"/>
      <c r="AC170" s="652"/>
      <c r="AD170" s="652"/>
      <c r="AE170" s="652"/>
      <c r="AF170" s="652"/>
      <c r="AG170" s="652"/>
    </row>
    <row r="171" spans="1:33" hidden="1" x14ac:dyDescent="0.2">
      <c r="A171" s="652"/>
      <c r="B171" s="652"/>
      <c r="C171" s="652"/>
      <c r="D171" s="652"/>
      <c r="E171" s="652"/>
      <c r="F171" s="652"/>
      <c r="G171" s="652"/>
      <c r="H171" s="652"/>
      <c r="I171" s="652"/>
      <c r="J171" s="652"/>
      <c r="K171" s="652"/>
      <c r="L171" s="652"/>
      <c r="M171" s="652"/>
      <c r="N171" s="652"/>
      <c r="O171" s="652"/>
      <c r="P171" s="652"/>
      <c r="Q171" s="652"/>
      <c r="R171" s="652"/>
      <c r="S171" s="652"/>
      <c r="T171" s="652"/>
      <c r="U171" s="652"/>
      <c r="V171" s="652"/>
      <c r="W171" s="652"/>
      <c r="X171" s="652"/>
      <c r="Y171" s="652"/>
      <c r="Z171" s="652"/>
      <c r="AA171" s="652"/>
      <c r="AB171" s="652"/>
      <c r="AC171" s="652"/>
      <c r="AD171" s="652"/>
      <c r="AE171" s="652"/>
      <c r="AF171" s="652"/>
      <c r="AG171" s="652"/>
    </row>
    <row r="172" spans="1:33" hidden="1" x14ac:dyDescent="0.2">
      <c r="A172" s="652"/>
      <c r="B172" s="652"/>
      <c r="C172" s="652"/>
      <c r="D172" s="652"/>
      <c r="E172" s="652"/>
      <c r="F172" s="652"/>
      <c r="G172" s="652"/>
      <c r="H172" s="652"/>
      <c r="I172" s="652"/>
      <c r="J172" s="652"/>
      <c r="K172" s="652"/>
      <c r="L172" s="652"/>
      <c r="M172" s="652"/>
      <c r="N172" s="652"/>
      <c r="O172" s="652"/>
      <c r="P172" s="652"/>
      <c r="Q172" s="652"/>
      <c r="R172" s="652"/>
      <c r="S172" s="652"/>
      <c r="T172" s="652"/>
      <c r="U172" s="652"/>
      <c r="V172" s="652"/>
      <c r="W172" s="652"/>
      <c r="X172" s="652"/>
      <c r="Y172" s="652"/>
      <c r="Z172" s="652"/>
      <c r="AA172" s="652"/>
      <c r="AB172" s="652"/>
      <c r="AC172" s="652"/>
      <c r="AD172" s="652"/>
      <c r="AE172" s="652"/>
      <c r="AF172" s="652"/>
      <c r="AG172" s="652"/>
    </row>
    <row r="173" spans="1:33" hidden="1" x14ac:dyDescent="0.2">
      <c r="A173" s="652"/>
      <c r="B173" s="652"/>
      <c r="C173" s="652"/>
      <c r="D173" s="652"/>
      <c r="E173" s="652"/>
      <c r="F173" s="652"/>
      <c r="G173" s="652"/>
      <c r="H173" s="652"/>
      <c r="I173" s="652"/>
      <c r="J173" s="652"/>
      <c r="K173" s="652"/>
      <c r="L173" s="652"/>
      <c r="M173" s="652"/>
      <c r="N173" s="652"/>
      <c r="O173" s="652"/>
      <c r="P173" s="652"/>
      <c r="Q173" s="652"/>
      <c r="R173" s="652"/>
      <c r="S173" s="652"/>
      <c r="T173" s="652"/>
      <c r="U173" s="652"/>
      <c r="V173" s="652"/>
      <c r="W173" s="652"/>
      <c r="X173" s="652"/>
      <c r="Y173" s="652"/>
      <c r="Z173" s="652"/>
      <c r="AA173" s="652"/>
      <c r="AB173" s="652"/>
      <c r="AC173" s="652"/>
      <c r="AD173" s="652"/>
      <c r="AE173" s="652"/>
      <c r="AF173" s="652"/>
      <c r="AG173" s="652"/>
    </row>
    <row r="174" spans="1:33" hidden="1" x14ac:dyDescent="0.2">
      <c r="A174" s="652"/>
      <c r="B174" s="652"/>
      <c r="C174" s="652"/>
      <c r="D174" s="652"/>
      <c r="E174" s="652"/>
      <c r="F174" s="652"/>
      <c r="G174" s="652"/>
      <c r="H174" s="652"/>
      <c r="I174" s="652"/>
      <c r="J174" s="652"/>
      <c r="K174" s="652"/>
      <c r="L174" s="652"/>
      <c r="M174" s="652"/>
      <c r="N174" s="652"/>
      <c r="O174" s="652"/>
      <c r="P174" s="652"/>
      <c r="Q174" s="652"/>
      <c r="R174" s="652"/>
      <c r="S174" s="652"/>
      <c r="T174" s="652"/>
      <c r="U174" s="652"/>
      <c r="V174" s="652"/>
      <c r="W174" s="652"/>
      <c r="X174" s="652"/>
      <c r="Y174" s="652"/>
      <c r="Z174" s="652"/>
      <c r="AA174" s="652"/>
      <c r="AB174" s="652"/>
      <c r="AC174" s="652"/>
      <c r="AD174" s="652"/>
      <c r="AE174" s="652"/>
      <c r="AF174" s="652"/>
      <c r="AG174" s="652"/>
    </row>
    <row r="175" spans="1:33" hidden="1" x14ac:dyDescent="0.2">
      <c r="A175" s="652"/>
      <c r="B175" s="652"/>
      <c r="C175" s="652"/>
      <c r="D175" s="652"/>
      <c r="E175" s="652"/>
      <c r="F175" s="652"/>
      <c r="G175" s="652"/>
      <c r="H175" s="652"/>
      <c r="I175" s="652"/>
      <c r="J175" s="652"/>
      <c r="K175" s="652"/>
      <c r="L175" s="652"/>
      <c r="M175" s="652"/>
      <c r="N175" s="652"/>
      <c r="O175" s="652"/>
      <c r="P175" s="652"/>
      <c r="Q175" s="652"/>
      <c r="R175" s="652"/>
      <c r="S175" s="652"/>
      <c r="T175" s="652"/>
      <c r="U175" s="652"/>
      <c r="V175" s="652"/>
      <c r="W175" s="652"/>
      <c r="X175" s="652"/>
      <c r="Y175" s="652"/>
      <c r="Z175" s="652"/>
      <c r="AA175" s="652"/>
      <c r="AB175" s="652"/>
      <c r="AC175" s="652"/>
      <c r="AD175" s="652"/>
      <c r="AE175" s="652"/>
      <c r="AF175" s="652"/>
      <c r="AG175" s="652"/>
    </row>
    <row r="176" spans="1:33"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row>
    <row r="177" spans="1:33"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row>
    <row r="178" spans="1:33"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row>
    <row r="179" spans="1:33"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row>
    <row r="180" spans="1:33"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row>
    <row r="181" spans="1:33"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row>
    <row r="182" spans="1:33"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row>
    <row r="183" spans="1:33"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row>
    <row r="184" spans="1:33"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row>
    <row r="185" spans="1:33"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row>
    <row r="186" spans="1:33"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row>
    <row r="187" spans="1:33"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row>
    <row r="188" spans="1:33"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row>
    <row r="189" spans="1:33"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row>
    <row r="190" spans="1:33"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row>
    <row r="191" spans="1:33"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row>
    <row r="192" spans="1:33"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row>
    <row r="193" spans="1:33"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row>
    <row r="194" spans="1:33"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row>
    <row r="195" spans="1:33"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row>
    <row r="196" spans="1:33"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row>
    <row r="197" spans="1:33"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row>
    <row r="198" spans="1:33"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row>
    <row r="199" spans="1:33"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row>
    <row r="200" spans="1:33"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row>
    <row r="201" spans="1:33"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row>
    <row r="202" spans="1:33"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row>
    <row r="203" spans="1:33"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row>
    <row r="204" spans="1:33"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row>
    <row r="205" spans="1:33"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row>
    <row r="206" spans="1:33"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row>
    <row r="207" spans="1:33"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row>
    <row r="208" spans="1:33"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row>
    <row r="209" spans="1:33"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row>
    <row r="210" spans="1:33"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row>
    <row r="211" spans="1:33"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row>
    <row r="212" spans="1:33"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row>
    <row r="213" spans="1:33"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row>
    <row r="214" spans="1:33"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row>
    <row r="215" spans="1:33"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row>
    <row r="216" spans="1:33"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row>
    <row r="217" spans="1:33"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row>
    <row r="218" spans="1:33"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row>
    <row r="219" spans="1:33"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row>
    <row r="220" spans="1:33"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row>
    <row r="221" spans="1:33"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row>
    <row r="222" spans="1:33"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row>
    <row r="223" spans="1:33"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row>
    <row r="224" spans="1:33"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row>
    <row r="225" spans="1:33"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row>
    <row r="226" spans="1:33"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row>
    <row r="227" spans="1:33"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row>
    <row r="228" spans="1:33"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row>
    <row r="229" spans="1:33"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row>
    <row r="230" spans="1:33"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row>
    <row r="231" spans="1:33"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row>
    <row r="232" spans="1:33"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row>
    <row r="233" spans="1:33"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row>
    <row r="234" spans="1:33"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row>
    <row r="235" spans="1:33"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row>
    <row r="236" spans="1:33"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row>
    <row r="237" spans="1:33"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row>
    <row r="238" spans="1:33"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row>
    <row r="239" spans="1:33"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row>
    <row r="240" spans="1:33"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row>
    <row r="241" spans="1:33"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row>
    <row r="242" spans="1:33"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row>
    <row r="243" spans="1:33"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row>
    <row r="244" spans="1:33"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row>
    <row r="245" spans="1:33"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row>
    <row r="246" spans="1:33"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row>
    <row r="247" spans="1:33"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row>
    <row r="248" spans="1:33"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row>
    <row r="249" spans="1:33"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row>
    <row r="250" spans="1:33"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row>
    <row r="251" spans="1:33"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row>
    <row r="252" spans="1:33"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row>
    <row r="253" spans="1:33"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row>
    <row r="254" spans="1:33"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row>
    <row r="255" spans="1:33"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row>
    <row r="256" spans="1:33"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row>
    <row r="257" spans="1:33"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row>
    <row r="258" spans="1:33"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row>
    <row r="259" spans="1:33"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row>
    <row r="260" spans="1:33"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row>
    <row r="261" spans="1:33"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row>
    <row r="262" spans="1:33"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row>
    <row r="263" spans="1:33"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row>
    <row r="264" spans="1:33"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row>
    <row r="265" spans="1:33"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row>
    <row r="266" spans="1:33"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row>
    <row r="267" spans="1:33"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row>
    <row r="268" spans="1:33"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row>
    <row r="269" spans="1:33"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row>
    <row r="270" spans="1:33"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row>
    <row r="271" spans="1:33"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row>
    <row r="272" spans="1:33"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row>
    <row r="273" spans="1:33"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row>
    <row r="274" spans="1:33"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row>
    <row r="275" spans="1:33"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row>
    <row r="276" spans="1:33"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row>
    <row r="277" spans="1:33"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row>
    <row r="278" spans="1:33"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row>
    <row r="279" spans="1:33"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row>
    <row r="280" spans="1:33"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row>
    <row r="281" spans="1:33"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row>
    <row r="282" spans="1:33"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row>
    <row r="283" spans="1:33"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row>
    <row r="284" spans="1:33"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row>
    <row r="285" spans="1:33"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row>
    <row r="286" spans="1:33" hidden="1" x14ac:dyDescent="0.2">
      <c r="A286" s="652"/>
      <c r="B286" s="652"/>
      <c r="C286" s="652"/>
      <c r="D286" s="652"/>
      <c r="E286" s="652"/>
      <c r="F286" s="652"/>
      <c r="G286" s="652"/>
      <c r="H286" s="652"/>
      <c r="I286" s="652"/>
      <c r="J286" s="652"/>
      <c r="K286" s="652"/>
      <c r="L286" s="657"/>
      <c r="M286" s="657"/>
      <c r="N286" s="657"/>
      <c r="O286" s="652"/>
      <c r="P286" s="652"/>
      <c r="Q286" s="652"/>
      <c r="R286" s="652"/>
      <c r="S286" s="652"/>
      <c r="T286" s="657"/>
      <c r="U286" s="657"/>
      <c r="V286" s="657"/>
      <c r="W286" s="652"/>
      <c r="X286" s="652"/>
      <c r="Y286" s="652"/>
      <c r="Z286" s="652"/>
      <c r="AA286" s="652"/>
      <c r="AB286" s="652"/>
      <c r="AC286" s="652"/>
      <c r="AD286" s="652"/>
      <c r="AE286" s="652"/>
      <c r="AF286" s="652"/>
      <c r="AG286" s="652"/>
    </row>
    <row r="287" spans="1:33" hidden="1" x14ac:dyDescent="0.2">
      <c r="A287" s="652"/>
      <c r="B287" s="652"/>
      <c r="C287" s="652"/>
      <c r="D287" s="652"/>
      <c r="E287" s="652"/>
      <c r="F287" s="652"/>
      <c r="G287" s="652"/>
      <c r="H287" s="652"/>
      <c r="I287" s="652"/>
      <c r="J287" s="652"/>
      <c r="K287" s="652"/>
      <c r="L287" s="657"/>
      <c r="M287" s="657"/>
      <c r="N287" s="657"/>
      <c r="O287" s="652"/>
      <c r="P287" s="652"/>
      <c r="Q287" s="652"/>
      <c r="R287" s="652"/>
      <c r="S287" s="652"/>
      <c r="T287" s="657"/>
      <c r="U287" s="657"/>
      <c r="V287" s="657"/>
      <c r="W287" s="652"/>
      <c r="X287" s="652"/>
      <c r="Y287" s="652"/>
      <c r="Z287" s="652"/>
      <c r="AA287" s="652"/>
      <c r="AB287" s="652"/>
      <c r="AC287" s="652"/>
      <c r="AD287" s="652"/>
      <c r="AE287" s="652"/>
      <c r="AF287" s="652"/>
      <c r="AG287" s="652"/>
    </row>
    <row r="288" spans="1:33" hidden="1" x14ac:dyDescent="0.2">
      <c r="A288" s="652"/>
      <c r="B288" s="652"/>
      <c r="C288" s="652"/>
      <c r="D288" s="652"/>
      <c r="E288" s="652"/>
      <c r="F288" s="652"/>
      <c r="G288" s="652"/>
      <c r="H288" s="652"/>
      <c r="I288" s="652"/>
      <c r="J288" s="652"/>
      <c r="K288" s="652"/>
      <c r="L288" s="657"/>
      <c r="M288" s="657"/>
      <c r="N288" s="657"/>
      <c r="O288" s="652"/>
      <c r="P288" s="652"/>
      <c r="Q288" s="652"/>
      <c r="R288" s="652"/>
      <c r="S288" s="652"/>
      <c r="T288" s="657"/>
      <c r="U288" s="657"/>
      <c r="V288" s="657"/>
      <c r="W288" s="652"/>
      <c r="X288" s="652"/>
      <c r="Y288" s="652"/>
      <c r="Z288" s="652"/>
      <c r="AA288" s="652"/>
      <c r="AB288" s="652"/>
      <c r="AC288" s="652"/>
      <c r="AD288" s="652"/>
      <c r="AE288" s="652"/>
      <c r="AF288" s="652"/>
      <c r="AG288" s="652"/>
    </row>
    <row r="289" spans="1:33" hidden="1" x14ac:dyDescent="0.2">
      <c r="A289" s="652"/>
      <c r="B289" s="652"/>
      <c r="C289" s="652"/>
      <c r="D289" s="652"/>
      <c r="E289" s="652"/>
      <c r="F289" s="652"/>
      <c r="G289" s="652"/>
      <c r="H289" s="652"/>
      <c r="I289" s="652"/>
      <c r="J289" s="652"/>
      <c r="K289" s="652"/>
      <c r="L289" s="657"/>
      <c r="M289" s="657"/>
      <c r="N289" s="657"/>
      <c r="O289" s="652"/>
      <c r="P289" s="652"/>
      <c r="Q289" s="652"/>
      <c r="R289" s="652"/>
      <c r="S289" s="652"/>
      <c r="T289" s="657"/>
      <c r="U289" s="657"/>
      <c r="V289" s="657"/>
      <c r="W289" s="652"/>
      <c r="X289" s="652"/>
      <c r="Y289" s="652"/>
      <c r="Z289" s="652"/>
      <c r="AA289" s="652"/>
      <c r="AB289" s="652"/>
      <c r="AC289" s="652"/>
      <c r="AD289" s="652"/>
      <c r="AE289" s="652"/>
      <c r="AF289" s="652"/>
      <c r="AG289" s="652"/>
    </row>
    <row r="290" spans="1:33" hidden="1" x14ac:dyDescent="0.2">
      <c r="A290" s="652"/>
      <c r="B290" s="652"/>
      <c r="C290" s="652"/>
      <c r="D290" s="652"/>
      <c r="E290" s="652"/>
      <c r="F290" s="652"/>
      <c r="G290" s="652"/>
      <c r="H290" s="652"/>
      <c r="I290" s="652"/>
      <c r="J290" s="652"/>
      <c r="K290" s="652"/>
      <c r="L290" s="657"/>
      <c r="M290" s="657"/>
      <c r="N290" s="657"/>
      <c r="O290" s="652"/>
      <c r="P290" s="652"/>
      <c r="Q290" s="652"/>
      <c r="R290" s="652"/>
      <c r="S290" s="652"/>
      <c r="T290" s="657"/>
      <c r="U290" s="657"/>
      <c r="V290" s="657"/>
      <c r="W290" s="652"/>
      <c r="X290" s="652"/>
      <c r="Y290" s="652"/>
      <c r="Z290" s="652"/>
      <c r="AA290" s="652"/>
      <c r="AB290" s="652"/>
      <c r="AC290" s="652"/>
      <c r="AD290" s="652"/>
      <c r="AE290" s="652"/>
      <c r="AF290" s="652"/>
      <c r="AG290" s="652"/>
    </row>
    <row r="291" spans="1:33" hidden="1" x14ac:dyDescent="0.2">
      <c r="A291" s="652"/>
      <c r="B291" s="652"/>
      <c r="C291" s="652"/>
      <c r="D291" s="652"/>
      <c r="E291" s="652"/>
      <c r="F291" s="652"/>
      <c r="G291" s="652"/>
      <c r="H291" s="652"/>
      <c r="I291" s="652"/>
      <c r="J291" s="652"/>
      <c r="K291" s="652"/>
      <c r="L291" s="657"/>
      <c r="M291" s="657"/>
      <c r="N291" s="657"/>
      <c r="O291" s="652"/>
      <c r="P291" s="652"/>
      <c r="Q291" s="652"/>
      <c r="R291" s="652"/>
      <c r="S291" s="652"/>
      <c r="T291" s="657"/>
      <c r="U291" s="657"/>
      <c r="V291" s="657"/>
      <c r="W291" s="652"/>
      <c r="X291" s="652"/>
      <c r="Y291" s="652"/>
      <c r="Z291" s="652"/>
      <c r="AA291" s="652"/>
      <c r="AB291" s="652"/>
      <c r="AC291" s="652"/>
      <c r="AD291" s="652"/>
      <c r="AE291" s="652"/>
      <c r="AF291" s="652"/>
      <c r="AG291" s="652"/>
    </row>
    <row r="292" spans="1:33" hidden="1" x14ac:dyDescent="0.2">
      <c r="A292" s="652"/>
      <c r="B292" s="652"/>
      <c r="C292" s="652"/>
      <c r="D292" s="652"/>
      <c r="E292" s="652"/>
      <c r="F292" s="652"/>
      <c r="G292" s="652"/>
      <c r="H292" s="652"/>
      <c r="I292" s="652"/>
      <c r="J292" s="652"/>
      <c r="K292" s="652"/>
      <c r="L292" s="657"/>
      <c r="M292" s="657"/>
      <c r="N292" s="657"/>
      <c r="O292" s="652"/>
      <c r="P292" s="652"/>
      <c r="Q292" s="652"/>
      <c r="R292" s="652"/>
      <c r="S292" s="652"/>
      <c r="T292" s="657"/>
      <c r="U292" s="657"/>
      <c r="V292" s="657"/>
      <c r="W292" s="652"/>
      <c r="X292" s="652"/>
      <c r="Y292" s="652"/>
      <c r="Z292" s="652"/>
      <c r="AA292" s="652"/>
      <c r="AB292" s="652"/>
      <c r="AC292" s="652"/>
      <c r="AD292" s="652"/>
      <c r="AE292" s="652"/>
      <c r="AF292" s="652"/>
      <c r="AG292" s="652"/>
    </row>
    <row r="293" spans="1:33" hidden="1" x14ac:dyDescent="0.2">
      <c r="A293" s="652"/>
      <c r="B293" s="652"/>
      <c r="C293" s="652"/>
      <c r="D293" s="652"/>
      <c r="E293" s="652"/>
      <c r="F293" s="652"/>
      <c r="G293" s="652"/>
      <c r="H293" s="652"/>
      <c r="I293" s="652"/>
      <c r="J293" s="652"/>
      <c r="K293" s="652"/>
      <c r="L293" s="657"/>
      <c r="M293" s="657"/>
      <c r="N293" s="657"/>
      <c r="O293" s="652"/>
      <c r="P293" s="652"/>
      <c r="Q293" s="652"/>
      <c r="R293" s="652"/>
      <c r="S293" s="652"/>
      <c r="T293" s="657"/>
      <c r="U293" s="657"/>
      <c r="V293" s="657"/>
      <c r="W293" s="652"/>
      <c r="X293" s="652"/>
      <c r="Y293" s="652"/>
      <c r="Z293" s="652"/>
      <c r="AA293" s="652"/>
      <c r="AB293" s="652"/>
      <c r="AC293" s="652"/>
      <c r="AD293" s="652"/>
      <c r="AE293" s="652"/>
      <c r="AF293" s="652"/>
      <c r="AG293" s="652"/>
    </row>
    <row r="294" spans="1:33" hidden="1" x14ac:dyDescent="0.2">
      <c r="A294" s="652"/>
      <c r="B294" s="652"/>
      <c r="C294" s="652"/>
      <c r="D294" s="652"/>
      <c r="E294" s="652"/>
      <c r="F294" s="652"/>
      <c r="G294" s="652"/>
      <c r="H294" s="652"/>
      <c r="I294" s="652"/>
      <c r="J294" s="652"/>
      <c r="K294" s="652"/>
      <c r="L294" s="657"/>
      <c r="M294" s="657"/>
      <c r="N294" s="657"/>
      <c r="O294" s="652"/>
      <c r="P294" s="652"/>
      <c r="Q294" s="652"/>
      <c r="R294" s="652"/>
      <c r="S294" s="652"/>
      <c r="T294" s="657"/>
      <c r="U294" s="657"/>
      <c r="V294" s="657"/>
      <c r="W294" s="652"/>
      <c r="X294" s="652"/>
      <c r="Y294" s="652"/>
      <c r="Z294" s="652"/>
      <c r="AA294" s="652"/>
      <c r="AB294" s="652"/>
      <c r="AC294" s="652"/>
      <c r="AD294" s="652"/>
      <c r="AE294" s="652"/>
      <c r="AF294" s="652"/>
      <c r="AG294" s="652"/>
    </row>
    <row r="295" spans="1:33" hidden="1" x14ac:dyDescent="0.2">
      <c r="A295" s="652"/>
      <c r="B295" s="652"/>
      <c r="C295" s="652"/>
      <c r="D295" s="652"/>
      <c r="E295" s="652"/>
      <c r="F295" s="652"/>
      <c r="G295" s="652"/>
      <c r="H295" s="652"/>
      <c r="I295" s="652"/>
      <c r="J295" s="652"/>
      <c r="K295" s="652"/>
      <c r="L295" s="657"/>
      <c r="M295" s="657"/>
      <c r="N295" s="657"/>
      <c r="O295" s="652"/>
      <c r="P295" s="652"/>
      <c r="Q295" s="652"/>
      <c r="R295" s="652"/>
      <c r="S295" s="652"/>
      <c r="T295" s="657"/>
      <c r="U295" s="657"/>
      <c r="V295" s="657"/>
      <c r="W295" s="652"/>
      <c r="X295" s="652"/>
      <c r="Y295" s="652"/>
      <c r="Z295" s="652"/>
      <c r="AA295" s="652"/>
      <c r="AB295" s="652"/>
      <c r="AC295" s="652"/>
      <c r="AD295" s="652"/>
      <c r="AE295" s="652"/>
      <c r="AF295" s="652"/>
      <c r="AG295" s="652"/>
    </row>
    <row r="296" spans="1:33" hidden="1" x14ac:dyDescent="0.2">
      <c r="A296" s="652"/>
      <c r="B296" s="652"/>
      <c r="C296" s="652"/>
      <c r="D296" s="652"/>
      <c r="E296" s="652"/>
      <c r="F296" s="652"/>
      <c r="G296" s="652"/>
      <c r="H296" s="652"/>
      <c r="I296" s="652"/>
      <c r="J296" s="652"/>
      <c r="K296" s="652"/>
      <c r="L296" s="657"/>
      <c r="M296" s="657"/>
      <c r="N296" s="657"/>
      <c r="O296" s="652"/>
      <c r="P296" s="652"/>
      <c r="Q296" s="652"/>
      <c r="R296" s="652"/>
      <c r="S296" s="652"/>
      <c r="T296" s="657"/>
      <c r="U296" s="657"/>
      <c r="V296" s="657"/>
      <c r="W296" s="652"/>
      <c r="X296" s="652"/>
      <c r="Y296" s="652"/>
      <c r="Z296" s="652"/>
      <c r="AA296" s="652"/>
      <c r="AB296" s="652"/>
      <c r="AC296" s="652"/>
      <c r="AD296" s="652"/>
      <c r="AE296" s="652"/>
      <c r="AF296" s="652"/>
      <c r="AG296" s="652"/>
    </row>
    <row r="297" spans="1:33" hidden="1" x14ac:dyDescent="0.2">
      <c r="A297" s="652"/>
      <c r="B297" s="652"/>
      <c r="C297" s="652"/>
      <c r="D297" s="652"/>
      <c r="E297" s="652"/>
      <c r="F297" s="652"/>
      <c r="G297" s="652"/>
      <c r="H297" s="652"/>
      <c r="I297" s="652"/>
      <c r="J297" s="652"/>
      <c r="K297" s="652"/>
      <c r="L297" s="657"/>
      <c r="M297" s="657"/>
      <c r="N297" s="657"/>
      <c r="O297" s="652"/>
      <c r="P297" s="652"/>
      <c r="Q297" s="652"/>
      <c r="R297" s="652"/>
      <c r="S297" s="652"/>
      <c r="T297" s="657"/>
      <c r="U297" s="657"/>
      <c r="V297" s="657"/>
      <c r="W297" s="652"/>
      <c r="X297" s="652"/>
      <c r="Y297" s="652"/>
      <c r="Z297" s="652"/>
      <c r="AA297" s="652"/>
      <c r="AB297" s="652"/>
      <c r="AC297" s="652"/>
      <c r="AD297" s="652"/>
      <c r="AE297" s="652"/>
      <c r="AF297" s="652"/>
      <c r="AG297" s="652"/>
    </row>
    <row r="298" spans="1:33" x14ac:dyDescent="0.2">
      <c r="A298" s="652"/>
      <c r="B298" s="652"/>
      <c r="C298" s="652"/>
      <c r="D298" s="652"/>
      <c r="E298" s="652"/>
      <c r="F298" s="652"/>
      <c r="G298" s="652"/>
      <c r="H298" s="652"/>
      <c r="I298" s="652"/>
      <c r="J298" s="652"/>
      <c r="K298" s="652"/>
      <c r="L298" s="657"/>
      <c r="M298" s="657"/>
      <c r="N298" s="657"/>
      <c r="O298" s="652"/>
      <c r="P298" s="652"/>
      <c r="Q298" s="652"/>
      <c r="R298" s="652"/>
      <c r="S298" s="652"/>
      <c r="T298" s="657"/>
      <c r="U298" s="657"/>
      <c r="V298" s="657"/>
      <c r="W298" s="652"/>
      <c r="X298" s="652"/>
      <c r="Y298" s="652"/>
      <c r="Z298" s="652"/>
      <c r="AA298" s="652"/>
      <c r="AB298" s="652"/>
      <c r="AC298" s="652"/>
      <c r="AD298" s="652"/>
      <c r="AE298" s="652"/>
      <c r="AF298" s="652"/>
      <c r="AG298" s="652"/>
    </row>
    <row r="299" spans="1:33" x14ac:dyDescent="0.2">
      <c r="A299" s="652"/>
      <c r="B299" s="652"/>
      <c r="C299" s="697" t="s">
        <v>182</v>
      </c>
      <c r="D299" s="698"/>
      <c r="E299" s="698"/>
      <c r="F299" s="652"/>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row>
    <row r="300" spans="1:33" x14ac:dyDescent="0.2">
      <c r="A300" s="699">
        <v>1</v>
      </c>
      <c r="B300" s="700" t="str">
        <f>IFERROR(INDEX(B$1:B$100,MATCH(A300,A$1:A$100,0)),"")</f>
        <v>Oskar Sepp</v>
      </c>
      <c r="C300" s="711">
        <v>40</v>
      </c>
      <c r="D300" s="702"/>
      <c r="E300" s="702"/>
      <c r="F300" s="652"/>
      <c r="G300" s="652"/>
      <c r="H300" s="652"/>
      <c r="I300" s="652"/>
      <c r="J300" s="652"/>
      <c r="K300" s="652"/>
      <c r="L300" s="652"/>
      <c r="M300" s="652"/>
      <c r="N300" s="652"/>
      <c r="O300" s="652"/>
      <c r="P300" s="652"/>
      <c r="Q300" s="652"/>
      <c r="R300" s="652"/>
      <c r="S300" s="652"/>
      <c r="T300" s="652"/>
      <c r="U300" s="652"/>
      <c r="V300" s="652"/>
      <c r="W300" s="652"/>
      <c r="X300" s="652"/>
      <c r="Y300" s="652"/>
      <c r="Z300" s="652"/>
      <c r="AA300" s="652"/>
      <c r="AB300" s="652"/>
      <c r="AC300" s="652"/>
      <c r="AD300" s="652"/>
      <c r="AE300" s="652"/>
      <c r="AF300" s="652"/>
      <c r="AG300" s="652"/>
    </row>
    <row r="301" spans="1:33" x14ac:dyDescent="0.2">
      <c r="A301" s="699">
        <v>2</v>
      </c>
      <c r="B301" s="700" t="str">
        <f t="shared" ref="B301:B323" si="11">IFERROR(INDEX(B$1:B$100,MATCH(A301,A$1:A$100,0)),"")</f>
        <v>Ivar Viljaste</v>
      </c>
      <c r="C301" s="711">
        <v>34</v>
      </c>
      <c r="D301" s="653"/>
      <c r="E301" s="653"/>
      <c r="F301" s="652"/>
      <c r="G301" s="652"/>
      <c r="H301" s="652"/>
      <c r="I301" s="652"/>
      <c r="J301" s="652"/>
      <c r="K301" s="652"/>
      <c r="L301" s="652"/>
      <c r="M301" s="652"/>
      <c r="N301" s="652"/>
      <c r="O301" s="652"/>
      <c r="P301" s="652"/>
      <c r="Q301" s="652"/>
      <c r="R301" s="652"/>
      <c r="S301" s="652"/>
      <c r="T301" s="652"/>
      <c r="U301" s="652"/>
      <c r="V301" s="652"/>
      <c r="W301" s="703"/>
      <c r="X301" s="652"/>
      <c r="Y301" s="652"/>
      <c r="Z301" s="652"/>
      <c r="AA301" s="652"/>
      <c r="AB301" s="652"/>
      <c r="AC301" s="652"/>
      <c r="AD301" s="652"/>
      <c r="AE301" s="652"/>
      <c r="AF301" s="652"/>
      <c r="AG301" s="652"/>
    </row>
    <row r="302" spans="1:33" x14ac:dyDescent="0.2">
      <c r="A302" s="699">
        <v>3</v>
      </c>
      <c r="B302" s="700" t="str">
        <f t="shared" si="11"/>
        <v>Kenneth Muusikus</v>
      </c>
      <c r="C302" s="711">
        <v>30</v>
      </c>
      <c r="D302" s="653"/>
      <c r="E302" s="653"/>
      <c r="F302" s="652"/>
      <c r="G302" s="652"/>
      <c r="H302" s="652"/>
      <c r="I302" s="652"/>
      <c r="J302" s="652"/>
      <c r="K302" s="652"/>
      <c r="L302" s="652"/>
      <c r="M302" s="652"/>
      <c r="N302" s="652"/>
      <c r="O302" s="652"/>
      <c r="P302" s="652"/>
      <c r="Q302" s="652"/>
      <c r="R302" s="652"/>
      <c r="S302" s="652"/>
      <c r="T302" s="652"/>
      <c r="U302" s="652"/>
      <c r="V302" s="652"/>
      <c r="W302" s="652"/>
      <c r="X302" s="652"/>
      <c r="Y302" s="652"/>
      <c r="Z302" s="652"/>
      <c r="AA302" s="652"/>
      <c r="AB302" s="652"/>
      <c r="AC302" s="652"/>
      <c r="AD302" s="652"/>
      <c r="AE302" s="652"/>
      <c r="AF302" s="652"/>
      <c r="AG302" s="652"/>
    </row>
    <row r="303" spans="1:33" x14ac:dyDescent="0.2">
      <c r="A303" s="699">
        <v>4</v>
      </c>
      <c r="B303" s="700" t="str">
        <f t="shared" si="11"/>
        <v>Oleg Rõndenkov</v>
      </c>
      <c r="C303" s="711">
        <v>26</v>
      </c>
      <c r="D303" s="653"/>
      <c r="E303" s="653"/>
      <c r="F303" s="652"/>
      <c r="G303" s="652"/>
      <c r="H303" s="652"/>
      <c r="I303" s="652"/>
      <c r="J303" s="652"/>
      <c r="K303" s="652"/>
      <c r="L303" s="652"/>
      <c r="M303" s="652"/>
      <c r="N303" s="652"/>
      <c r="O303" s="652"/>
      <c r="P303" s="652"/>
      <c r="Q303" s="652"/>
      <c r="R303" s="652"/>
      <c r="S303" s="652"/>
      <c r="T303" s="652"/>
      <c r="U303" s="652"/>
      <c r="V303" s="652"/>
      <c r="W303" s="652"/>
      <c r="X303" s="652"/>
      <c r="Y303" s="652"/>
      <c r="Z303" s="652"/>
      <c r="AA303" s="652"/>
      <c r="AB303" s="652"/>
      <c r="AC303" s="652"/>
      <c r="AD303" s="652"/>
      <c r="AE303" s="652"/>
      <c r="AF303" s="652"/>
      <c r="AG303" s="652"/>
    </row>
    <row r="304" spans="1:33" x14ac:dyDescent="0.2">
      <c r="A304" s="699">
        <v>5</v>
      </c>
      <c r="B304" s="700" t="str">
        <f t="shared" si="11"/>
        <v>Andres Veski</v>
      </c>
      <c r="C304" s="711">
        <v>24</v>
      </c>
      <c r="D304" s="653"/>
      <c r="E304" s="653"/>
      <c r="F304" s="652"/>
      <c r="G304" s="652"/>
      <c r="H304" s="652"/>
      <c r="I304" s="652"/>
      <c r="J304" s="652"/>
      <c r="K304" s="652"/>
      <c r="L304" s="652"/>
      <c r="M304" s="652"/>
      <c r="N304" s="652"/>
      <c r="O304" s="652"/>
      <c r="P304" s="652"/>
      <c r="Q304" s="652"/>
      <c r="R304" s="652"/>
      <c r="S304" s="652"/>
      <c r="T304" s="652"/>
      <c r="U304" s="652"/>
      <c r="V304" s="652"/>
      <c r="W304" s="652"/>
      <c r="X304" s="652"/>
      <c r="Y304" s="652"/>
      <c r="Z304" s="652"/>
      <c r="AA304" s="652"/>
      <c r="AB304" s="652"/>
      <c r="AC304" s="652"/>
      <c r="AD304" s="652"/>
      <c r="AE304" s="652"/>
      <c r="AF304" s="652"/>
      <c r="AG304" s="652"/>
    </row>
    <row r="305" spans="1:33" x14ac:dyDescent="0.2">
      <c r="A305" s="699">
        <v>6</v>
      </c>
      <c r="B305" s="700" t="str">
        <f t="shared" si="11"/>
        <v>Ülo Piik</v>
      </c>
      <c r="C305" s="711">
        <v>22</v>
      </c>
      <c r="D305" s="653"/>
      <c r="E305" s="653"/>
      <c r="F305" s="652"/>
      <c r="G305" s="652"/>
      <c r="H305" s="652"/>
      <c r="I305" s="652"/>
      <c r="J305" s="652"/>
      <c r="K305" s="652"/>
      <c r="L305" s="652"/>
      <c r="M305" s="652"/>
      <c r="N305" s="652"/>
      <c r="O305" s="652"/>
      <c r="P305" s="652"/>
      <c r="Q305" s="652"/>
      <c r="R305" s="652"/>
      <c r="S305" s="652"/>
      <c r="T305" s="652"/>
      <c r="U305" s="652"/>
      <c r="V305" s="652"/>
      <c r="W305" s="652"/>
      <c r="X305" s="652"/>
      <c r="Y305" s="652"/>
      <c r="Z305" s="652"/>
      <c r="AA305" s="652"/>
      <c r="AB305" s="652"/>
      <c r="AC305" s="652"/>
      <c r="AD305" s="652"/>
      <c r="AE305" s="652"/>
      <c r="AF305" s="652"/>
      <c r="AG305" s="652"/>
    </row>
    <row r="306" spans="1:33" x14ac:dyDescent="0.2">
      <c r="A306" s="699">
        <v>7</v>
      </c>
      <c r="B306" s="700" t="str">
        <f t="shared" si="11"/>
        <v>Matti Vinni</v>
      </c>
      <c r="C306" s="711">
        <v>20</v>
      </c>
      <c r="D306" s="653"/>
      <c r="E306" s="653"/>
      <c r="F306" s="652"/>
      <c r="G306" s="652"/>
      <c r="H306" s="652"/>
      <c r="I306" s="652"/>
      <c r="J306" s="652"/>
      <c r="K306" s="652"/>
      <c r="L306" s="652"/>
      <c r="M306" s="652"/>
      <c r="N306" s="652"/>
      <c r="O306" s="652"/>
      <c r="P306" s="652"/>
      <c r="Q306" s="652"/>
      <c r="R306" s="652"/>
      <c r="S306" s="652"/>
      <c r="T306" s="652"/>
      <c r="U306" s="652"/>
      <c r="V306" s="652"/>
      <c r="W306" s="703"/>
      <c r="X306" s="652"/>
      <c r="Y306" s="652"/>
      <c r="Z306" s="652"/>
      <c r="AA306" s="652"/>
      <c r="AB306" s="652"/>
      <c r="AC306" s="652"/>
      <c r="AD306" s="652"/>
      <c r="AE306" s="652"/>
      <c r="AF306" s="652"/>
      <c r="AG306" s="652"/>
    </row>
    <row r="307" spans="1:33" x14ac:dyDescent="0.2">
      <c r="A307" s="699">
        <v>8</v>
      </c>
      <c r="B307" s="700" t="str">
        <f t="shared" si="11"/>
        <v>Urmas Jõeäär</v>
      </c>
      <c r="C307" s="711">
        <v>18</v>
      </c>
      <c r="D307" s="653"/>
      <c r="E307" s="653"/>
      <c r="F307" s="652"/>
      <c r="G307" s="652"/>
      <c r="H307" s="652"/>
      <c r="I307" s="652"/>
      <c r="J307" s="652"/>
      <c r="K307" s="652"/>
      <c r="L307" s="652"/>
      <c r="M307" s="652"/>
      <c r="N307" s="652"/>
      <c r="O307" s="652"/>
      <c r="P307" s="652"/>
      <c r="Q307" s="652"/>
      <c r="R307" s="652"/>
      <c r="S307" s="652"/>
      <c r="T307" s="652"/>
      <c r="U307" s="652"/>
      <c r="V307" s="652"/>
      <c r="W307" s="652"/>
      <c r="X307" s="652"/>
      <c r="Y307" s="652"/>
      <c r="Z307" s="652"/>
      <c r="AA307" s="652"/>
      <c r="AB307" s="652"/>
      <c r="AC307" s="652"/>
      <c r="AD307" s="652"/>
      <c r="AE307" s="652"/>
      <c r="AF307" s="652"/>
      <c r="AG307" s="652"/>
    </row>
    <row r="308" spans="1:33" x14ac:dyDescent="0.2">
      <c r="A308" s="699">
        <v>9</v>
      </c>
      <c r="B308" s="700" t="str">
        <f t="shared" si="11"/>
        <v>Jaan Sepp</v>
      </c>
      <c r="C308" s="711">
        <v>16</v>
      </c>
      <c r="D308" s="653"/>
      <c r="E308" s="653"/>
      <c r="F308" s="652"/>
      <c r="G308" s="652"/>
      <c r="H308" s="652"/>
      <c r="I308" s="652"/>
      <c r="J308" s="652"/>
      <c r="K308" s="652"/>
      <c r="L308" s="652"/>
      <c r="M308" s="652"/>
      <c r="N308" s="652"/>
      <c r="O308" s="652"/>
      <c r="P308" s="652"/>
      <c r="Q308" s="652"/>
      <c r="R308" s="652"/>
      <c r="S308" s="652"/>
      <c r="T308" s="652"/>
      <c r="U308" s="652"/>
      <c r="V308" s="652"/>
      <c r="W308" s="652"/>
      <c r="X308" s="652"/>
      <c r="Y308" s="652"/>
      <c r="Z308" s="652"/>
      <c r="AA308" s="652"/>
      <c r="AB308" s="652"/>
      <c r="AC308" s="652"/>
      <c r="AD308" s="652"/>
      <c r="AE308" s="652"/>
      <c r="AF308" s="652"/>
      <c r="AG308" s="652"/>
    </row>
    <row r="309" spans="1:33" x14ac:dyDescent="0.2">
      <c r="A309" s="699">
        <v>10</v>
      </c>
      <c r="B309" s="700" t="str">
        <f t="shared" si="11"/>
        <v>Elmo Lageda</v>
      </c>
      <c r="C309" s="701">
        <v>14</v>
      </c>
      <c r="D309" s="653"/>
      <c r="E309" s="653"/>
      <c r="F309" s="652"/>
      <c r="G309" s="652"/>
      <c r="H309" s="652"/>
      <c r="I309" s="652"/>
      <c r="J309" s="652"/>
      <c r="K309" s="652"/>
      <c r="L309" s="652"/>
      <c r="M309" s="652"/>
      <c r="N309" s="652"/>
      <c r="O309" s="652"/>
      <c r="P309" s="652"/>
      <c r="Q309" s="652"/>
      <c r="R309" s="652"/>
      <c r="S309" s="652"/>
      <c r="T309" s="652"/>
      <c r="U309" s="652"/>
      <c r="V309" s="652"/>
      <c r="W309" s="652"/>
      <c r="X309" s="652"/>
      <c r="Y309" s="652"/>
      <c r="Z309" s="652"/>
      <c r="AA309" s="652"/>
      <c r="AB309" s="652"/>
      <c r="AC309" s="652"/>
      <c r="AD309" s="652"/>
      <c r="AE309" s="652"/>
      <c r="AF309" s="652"/>
      <c r="AG309" s="652"/>
    </row>
    <row r="310" spans="1:33" x14ac:dyDescent="0.2">
      <c r="A310" s="699">
        <v>11</v>
      </c>
      <c r="B310" s="700" t="str">
        <f t="shared" si="11"/>
        <v>Svetlana Veski</v>
      </c>
      <c r="C310" s="701">
        <v>12</v>
      </c>
      <c r="D310" s="652"/>
      <c r="E310" s="652"/>
      <c r="F310" s="652"/>
      <c r="G310" s="652"/>
      <c r="H310" s="652"/>
      <c r="I310" s="652"/>
      <c r="J310" s="652"/>
      <c r="K310" s="652"/>
      <c r="L310" s="652"/>
      <c r="M310" s="652"/>
      <c r="N310" s="652"/>
      <c r="O310" s="652"/>
      <c r="P310" s="652"/>
      <c r="Q310" s="652"/>
      <c r="R310" s="652"/>
      <c r="S310" s="652"/>
      <c r="T310" s="652"/>
      <c r="U310" s="652"/>
      <c r="V310" s="652"/>
      <c r="W310" s="652"/>
      <c r="X310" s="652"/>
      <c r="Y310" s="652"/>
      <c r="Z310" s="652"/>
      <c r="AA310" s="652"/>
      <c r="AB310" s="652"/>
      <c r="AC310" s="652"/>
      <c r="AD310" s="652"/>
      <c r="AE310" s="652"/>
      <c r="AF310" s="652"/>
      <c r="AG310" s="652"/>
    </row>
    <row r="311" spans="1:33" x14ac:dyDescent="0.2">
      <c r="A311" s="699">
        <v>12</v>
      </c>
      <c r="B311" s="700" t="str">
        <f t="shared" si="11"/>
        <v>Mait Metsla</v>
      </c>
      <c r="C311" s="701">
        <v>10</v>
      </c>
      <c r="D311" s="652"/>
      <c r="E311" s="652"/>
      <c r="F311" s="652"/>
      <c r="G311" s="652"/>
      <c r="H311" s="652"/>
      <c r="I311" s="652"/>
      <c r="J311" s="652"/>
      <c r="K311" s="652"/>
      <c r="L311" s="652"/>
      <c r="M311" s="652"/>
      <c r="N311" s="652"/>
      <c r="O311" s="652"/>
      <c r="P311" s="652"/>
      <c r="Q311" s="652"/>
      <c r="R311" s="652"/>
      <c r="S311" s="652"/>
      <c r="T311" s="652"/>
      <c r="U311" s="652"/>
      <c r="V311" s="652"/>
      <c r="W311" s="652"/>
      <c r="X311" s="652"/>
      <c r="Y311" s="652"/>
      <c r="Z311" s="652"/>
      <c r="AA311" s="652"/>
      <c r="AB311" s="652"/>
      <c r="AC311" s="652"/>
      <c r="AD311" s="652"/>
      <c r="AE311" s="652"/>
      <c r="AF311" s="652"/>
      <c r="AG311" s="652"/>
    </row>
    <row r="312" spans="1:33" x14ac:dyDescent="0.2">
      <c r="A312" s="699">
        <v>13</v>
      </c>
      <c r="B312" s="700" t="str">
        <f t="shared" si="11"/>
        <v>Tõnu Piik</v>
      </c>
      <c r="C312" s="701">
        <v>8</v>
      </c>
      <c r="D312" s="652"/>
      <c r="E312" s="652"/>
      <c r="F312" s="652"/>
      <c r="G312" s="652"/>
      <c r="H312" s="652"/>
      <c r="I312" s="652"/>
      <c r="J312" s="652"/>
      <c r="K312" s="652"/>
      <c r="L312" s="652"/>
      <c r="M312" s="652"/>
      <c r="N312" s="652"/>
      <c r="O312" s="652"/>
      <c r="P312" s="652"/>
      <c r="Q312" s="652"/>
      <c r="R312" s="652"/>
      <c r="S312" s="652"/>
      <c r="T312" s="652"/>
      <c r="U312" s="652"/>
      <c r="V312" s="652"/>
      <c r="W312" s="652"/>
      <c r="X312" s="652"/>
      <c r="Y312" s="652"/>
      <c r="Z312" s="652"/>
      <c r="AA312" s="652"/>
      <c r="AB312" s="652"/>
      <c r="AC312" s="652"/>
      <c r="AD312" s="652"/>
      <c r="AE312" s="652"/>
      <c r="AF312" s="652"/>
      <c r="AG312" s="652"/>
    </row>
    <row r="313" spans="1:33" x14ac:dyDescent="0.2">
      <c r="A313" s="699">
        <v>14</v>
      </c>
      <c r="B313" s="700" t="str">
        <f t="shared" si="11"/>
        <v>Vello Vasser</v>
      </c>
      <c r="C313" s="701">
        <v>6</v>
      </c>
    </row>
    <row r="314" spans="1:33" x14ac:dyDescent="0.2">
      <c r="A314" s="699">
        <v>15</v>
      </c>
      <c r="B314" s="700" t="str">
        <f t="shared" si="11"/>
        <v>Oksana Rõndenkova</v>
      </c>
      <c r="C314" s="701">
        <v>4</v>
      </c>
    </row>
    <row r="315" spans="1:33" x14ac:dyDescent="0.2">
      <c r="A315" s="699">
        <v>16</v>
      </c>
      <c r="B315" s="700" t="str">
        <f t="shared" si="11"/>
        <v>Andrei Grintšak</v>
      </c>
      <c r="C315" s="701">
        <v>2</v>
      </c>
    </row>
    <row r="316" spans="1:33" x14ac:dyDescent="0.2">
      <c r="A316" s="699">
        <v>17</v>
      </c>
      <c r="B316" s="700" t="str">
        <f t="shared" si="11"/>
        <v>Tõnu Kapper</v>
      </c>
      <c r="C316" s="701">
        <v>1</v>
      </c>
    </row>
    <row r="317" spans="1:33" x14ac:dyDescent="0.2">
      <c r="A317" s="699">
        <v>18</v>
      </c>
      <c r="B317" s="700" t="str">
        <f t="shared" si="11"/>
        <v>Boriss Klubov</v>
      </c>
      <c r="C317" s="701">
        <v>1</v>
      </c>
    </row>
    <row r="318" spans="1:33" x14ac:dyDescent="0.2">
      <c r="A318" s="699">
        <v>19</v>
      </c>
      <c r="B318" s="700" t="str">
        <f t="shared" si="11"/>
        <v>Vladimir Mihhailov</v>
      </c>
      <c r="C318" s="701">
        <v>1</v>
      </c>
    </row>
    <row r="319" spans="1:33" x14ac:dyDescent="0.2">
      <c r="A319" s="699">
        <v>20</v>
      </c>
      <c r="B319" s="700" t="str">
        <f t="shared" si="11"/>
        <v>Illar Tõnurist</v>
      </c>
      <c r="C319" s="701">
        <f t="shared" ref="C319" si="12">IF(21-A319&gt;0,IF(OR(A319=A320,A318=A319),21-A319-0.5,21-A319),1)</f>
        <v>1</v>
      </c>
    </row>
    <row r="320" spans="1:33" x14ac:dyDescent="0.2">
      <c r="A320" s="699">
        <v>21</v>
      </c>
      <c r="B320" s="700" t="str">
        <f t="shared" si="11"/>
        <v>Jaan Saar</v>
      </c>
      <c r="C320" s="701">
        <f t="shared" ref="C320:C325" si="13">IF(21-A320&gt;0,IF(OR(A320=A321,A319=A320),21-A320-0.5,21-A320),1)</f>
        <v>1</v>
      </c>
    </row>
    <row r="321" spans="1:3" x14ac:dyDescent="0.2">
      <c r="A321" s="699">
        <v>22</v>
      </c>
      <c r="B321" s="700" t="str">
        <f t="shared" si="11"/>
        <v>Liidia Põllu</v>
      </c>
      <c r="C321" s="701">
        <f t="shared" si="13"/>
        <v>1</v>
      </c>
    </row>
    <row r="322" spans="1:3" x14ac:dyDescent="0.2">
      <c r="A322" s="699">
        <v>23</v>
      </c>
      <c r="B322" s="700" t="str">
        <f t="shared" si="11"/>
        <v>Sandra Laura Nõmmeloo</v>
      </c>
      <c r="C322" s="701">
        <f t="shared" si="13"/>
        <v>1</v>
      </c>
    </row>
    <row r="323" spans="1:3" x14ac:dyDescent="0.2">
      <c r="A323" s="699">
        <v>24</v>
      </c>
      <c r="B323" s="700" t="str">
        <f t="shared" si="11"/>
        <v>Aarne Välja</v>
      </c>
      <c r="C323" s="701">
        <f t="shared" si="13"/>
        <v>1</v>
      </c>
    </row>
    <row r="324" spans="1:3" x14ac:dyDescent="0.2">
      <c r="A324" s="699">
        <v>25</v>
      </c>
      <c r="B324" s="700" t="str">
        <f t="shared" ref="B324:B325" si="14">IFERROR(INDEX(B$1:B$100,MATCH(A324,A$1:A$100,0)),"")</f>
        <v>Sander Skrabutenas</v>
      </c>
      <c r="C324" s="701">
        <f t="shared" si="13"/>
        <v>1</v>
      </c>
    </row>
    <row r="325" spans="1:3" x14ac:dyDescent="0.2">
      <c r="A325" s="699">
        <v>26</v>
      </c>
      <c r="B325" s="700" t="str">
        <f t="shared" si="14"/>
        <v>Emil Murzajev</v>
      </c>
      <c r="C325" s="701">
        <f t="shared" si="13"/>
        <v>1</v>
      </c>
    </row>
  </sheetData>
  <conditionalFormatting sqref="A300:A325">
    <cfRule type="duplicateValues" dxfId="728" priority="42"/>
  </conditionalFormatting>
  <conditionalFormatting sqref="B300:B325">
    <cfRule type="expression" dxfId="727" priority="37">
      <formula>A300=3</formula>
    </cfRule>
    <cfRule type="expression" dxfId="726" priority="38">
      <formula>A300=2</formula>
    </cfRule>
    <cfRule type="expression" dxfId="725" priority="39">
      <formula>A300=1</formula>
    </cfRule>
    <cfRule type="containsBlanks" dxfId="724" priority="40">
      <formula>LEN(TRIM(B300))=0</formula>
    </cfRule>
    <cfRule type="duplicateValues" dxfId="723" priority="41"/>
  </conditionalFormatting>
  <conditionalFormatting sqref="A8:A33">
    <cfRule type="duplicateValues" dxfId="722" priority="36"/>
  </conditionalFormatting>
  <conditionalFormatting sqref="C8:C33">
    <cfRule type="expression" dxfId="721" priority="18">
      <formula>IF($C8&gt;$E8,TRUE)</formula>
    </cfRule>
  </conditionalFormatting>
  <conditionalFormatting sqref="E8:E33">
    <cfRule type="expression" dxfId="720" priority="19">
      <formula>IF($C8&lt;$E8,TRUE)</formula>
    </cfRule>
  </conditionalFormatting>
  <conditionalFormatting sqref="K8:K33">
    <cfRule type="expression" dxfId="719" priority="26">
      <formula>IF($K8&gt;$M8,TRUE)</formula>
    </cfRule>
  </conditionalFormatting>
  <conditionalFormatting sqref="M8:M33">
    <cfRule type="expression" dxfId="718" priority="27">
      <formula>IF($K8&lt;$M8,TRUE)</formula>
    </cfRule>
  </conditionalFormatting>
  <conditionalFormatting sqref="O8:O33">
    <cfRule type="expression" dxfId="717" priority="30">
      <formula>IF($O8&gt;$Q8,TRUE)</formula>
    </cfRule>
  </conditionalFormatting>
  <conditionalFormatting sqref="Q8:Q33">
    <cfRule type="expression" dxfId="716" priority="31">
      <formula>IF($O8&lt;$Q8,TRUE)</formula>
    </cfRule>
  </conditionalFormatting>
  <conditionalFormatting sqref="S8:S33">
    <cfRule type="expression" dxfId="715" priority="34">
      <formula>IF($S8&gt;$U8,TRUE)</formula>
    </cfRule>
  </conditionalFormatting>
  <conditionalFormatting sqref="U8:U33">
    <cfRule type="expression" dxfId="714" priority="35">
      <formula>IF($S8&lt;$U8,TRUE)</formula>
    </cfRule>
  </conditionalFormatting>
  <conditionalFormatting sqref="G8:G33">
    <cfRule type="expression" dxfId="713" priority="22">
      <formula>IF($G8&gt;$I8,TRUE)</formula>
    </cfRule>
  </conditionalFormatting>
  <conditionalFormatting sqref="I8:I33">
    <cfRule type="expression" dxfId="712" priority="23">
      <formula>IF($G8&lt;$I8,TRUE)</formula>
    </cfRule>
  </conditionalFormatting>
  <conditionalFormatting sqref="F8:F33">
    <cfRule type="containsText" dxfId="711" priority="9" operator="containsText" text="vaba voor">
      <formula>NOT(ISERROR(SEARCH("vaba voor",F8)))</formula>
    </cfRule>
  </conditionalFormatting>
  <conditionalFormatting sqref="N8:N33">
    <cfRule type="containsText" dxfId="710" priority="7" operator="containsText" text="vaba voor">
      <formula>NOT(ISERROR(SEARCH("vaba voor",N8)))</formula>
    </cfRule>
  </conditionalFormatting>
  <conditionalFormatting sqref="R8:R33">
    <cfRule type="containsText" dxfId="709" priority="10" operator="containsText" text="vaba voor">
      <formula>NOT(ISERROR(SEARCH("vaba voor",R8)))</formula>
    </cfRule>
  </conditionalFormatting>
  <conditionalFormatting sqref="V8:V33">
    <cfRule type="containsText" dxfId="708" priority="6" operator="containsText" text="vaba voor">
      <formula>NOT(ISERROR(SEARCH("vaba voor",V8)))</formula>
    </cfRule>
  </conditionalFormatting>
  <conditionalFormatting sqref="J8:J33">
    <cfRule type="containsText" dxfId="707" priority="8" operator="containsText" text="vaba voor">
      <formula>NOT(ISERROR(SEARCH("vaba voor",J8)))</formula>
    </cfRule>
  </conditionalFormatting>
  <conditionalFormatting sqref="C8:F33">
    <cfRule type="expression" dxfId="706" priority="14">
      <formula>IF(AND(ISNUMBER($C8),$C8=$E8),TRUE)</formula>
    </cfRule>
    <cfRule type="expression" dxfId="705" priority="16">
      <formula>IF($C8&gt;$E8,TRUE)</formula>
    </cfRule>
    <cfRule type="expression" dxfId="704" priority="17">
      <formula>IF($C8&lt;$E8,TRUE)</formula>
    </cfRule>
  </conditionalFormatting>
  <conditionalFormatting sqref="G8:J33">
    <cfRule type="expression" dxfId="703" priority="15">
      <formula>IF(AND(ISNUMBER($G8),$G8=$I8),TRUE)</formula>
    </cfRule>
    <cfRule type="expression" dxfId="702" priority="20">
      <formula>IF($G8&gt;$I8,TRUE)</formula>
    </cfRule>
    <cfRule type="expression" dxfId="701" priority="21">
      <formula>IF($G8&lt;$I8,TRUE)</formula>
    </cfRule>
  </conditionalFormatting>
  <conditionalFormatting sqref="K8:N33">
    <cfRule type="expression" dxfId="700" priority="13">
      <formula>IF(AND(ISNUMBER($K8),$K8=$M8),TRUE)</formula>
    </cfRule>
    <cfRule type="expression" dxfId="699" priority="24">
      <formula>IF($K8&gt;$M8,TRUE)</formula>
    </cfRule>
    <cfRule type="expression" dxfId="698" priority="25">
      <formula>IF($K8&lt;$M8,TRUE)</formula>
    </cfRule>
  </conditionalFormatting>
  <conditionalFormatting sqref="O8:R33">
    <cfRule type="expression" dxfId="697" priority="12">
      <formula>IF(AND(ISNUMBER($O8),$O8=$Q8),TRUE)</formula>
    </cfRule>
    <cfRule type="expression" dxfId="696" priority="28">
      <formula>IF($O8&gt;$Q8,TRUE)</formula>
    </cfRule>
    <cfRule type="expression" dxfId="695" priority="29">
      <formula>IF($O8&lt;$Q8,TRUE)</formula>
    </cfRule>
  </conditionalFormatting>
  <conditionalFormatting sqref="S8:V33">
    <cfRule type="expression" dxfId="694" priority="11">
      <formula>IF(AND(ISNUMBER($S8),$S8=$U8),TRUE)</formula>
    </cfRule>
    <cfRule type="expression" dxfId="693" priority="32">
      <formula>IF($S8&gt;$U8,TRUE)</formula>
    </cfRule>
    <cfRule type="expression" dxfId="692" priority="33">
      <formula>IF($S8&lt;$U8,TRUE)</formula>
    </cfRule>
  </conditionalFormatting>
  <conditionalFormatting sqref="C8:C33 G8:G33 K8:K33 O8:O33 S8:S33">
    <cfRule type="expression" dxfId="691" priority="5">
      <formula>AND(C8=0,E8=13)</formula>
    </cfRule>
  </conditionalFormatting>
  <conditionalFormatting sqref="AE9:AE33">
    <cfRule type="expression" dxfId="690" priority="1">
      <formula>AND(AF9="",COUNTIF(AE9,"*,*")=0)</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rowBreaks count="1" manualBreakCount="1">
    <brk id="29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G321"/>
  <sheetViews>
    <sheetView showGridLines="0" showRowColHeaders="0" zoomScaleNormal="100" workbookViewId="0">
      <pane ySplit="2" topLeftCell="A3" activePane="bottomLeft" state="frozen"/>
      <selection pane="bottomLeft" activeCell="R1" sqref="R1"/>
    </sheetView>
  </sheetViews>
  <sheetFormatPr defaultRowHeight="12.75" x14ac:dyDescent="0.2"/>
  <cols>
    <col min="1" max="1" width="3.28515625" customWidth="1"/>
    <col min="2" max="2" width="21.8554687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0" width="9.140625" hidden="1" customWidth="1"/>
    <col min="31" max="31" width="21.85546875" hidden="1" customWidth="1"/>
    <col min="32" max="32" width="9.140625" hidden="1" customWidth="1"/>
  </cols>
  <sheetData>
    <row r="1" spans="1:33" x14ac:dyDescent="0.2">
      <c r="A1" s="742" t="str">
        <f>UPPER((Kalend!E37)&amp;" - "&amp;(Kalend!C37)&amp;" - "&amp;(Kalend!D37))</f>
        <v>12 - VIRU SK 1. LAHTISED MV - ÜKSIK</v>
      </c>
      <c r="B1" s="652"/>
      <c r="C1" s="653"/>
      <c r="D1" s="652"/>
      <c r="E1" s="652"/>
      <c r="J1" s="410" t="str">
        <f>HYPERLINK("#Kalend!I1","Kalender")</f>
        <v>Kalender</v>
      </c>
      <c r="K1" s="410"/>
      <c r="L1" s="410"/>
      <c r="M1" s="410"/>
      <c r="N1" s="654" t="str">
        <f>HYPERLINK("#Reit!r1","Reiting")</f>
        <v>Reiting</v>
      </c>
      <c r="O1" s="655"/>
      <c r="P1" s="656"/>
      <c r="Q1" s="657"/>
      <c r="R1" s="657"/>
      <c r="S1" s="655"/>
      <c r="T1" s="656"/>
      <c r="U1" s="656"/>
      <c r="V1" s="656"/>
      <c r="W1" s="652"/>
      <c r="X1" s="658"/>
      <c r="Y1" s="652"/>
      <c r="Z1" s="652"/>
      <c r="AA1" s="652"/>
      <c r="AB1" s="652"/>
      <c r="AD1" s="417" t="s">
        <v>181</v>
      </c>
      <c r="AE1" s="822"/>
      <c r="AF1" s="822"/>
      <c r="AG1" s="652"/>
    </row>
    <row r="2" spans="1:33" x14ac:dyDescent="0.2">
      <c r="A2" s="659" t="str">
        <f>"Toimumisaeg: "&amp;(Kalend!A37)&amp;" kell "&amp;(Kalend!B37)</f>
        <v>Toimumisaeg: P, 25.08.2019 kell 11:00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9"/>
      <c r="AE2" s="659"/>
      <c r="AF2" s="659"/>
      <c r="AG2" s="652"/>
    </row>
    <row r="3" spans="1:33" x14ac:dyDescent="0.2">
      <c r="A3" s="659" t="str">
        <f>"Toimumiskoht: "&amp;(Kalend!F37)</f>
        <v>Toimumiskoht: Voka staadion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823" t="s">
        <v>362</v>
      </c>
      <c r="AF3" s="659"/>
      <c r="AG3" s="652"/>
    </row>
    <row r="4" spans="1:33" x14ac:dyDescent="0.2">
      <c r="A4" s="659" t="str">
        <f>"Korraldaja: "&amp;(Kalend!G37)</f>
        <v>Korraldaja: Johannes Neiland</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824" t="s">
        <v>479</v>
      </c>
      <c r="AE4" s="825"/>
      <c r="AF4" s="825"/>
      <c r="AG4" s="652"/>
    </row>
    <row r="5" spans="1:33"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824" t="s">
        <v>364</v>
      </c>
      <c r="AE5" s="826" t="s">
        <v>208</v>
      </c>
      <c r="AF5" s="826"/>
      <c r="AG5" s="652"/>
    </row>
    <row r="6" spans="1:33" hidden="1"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824" t="s">
        <v>376</v>
      </c>
      <c r="AE6" s="825"/>
      <c r="AF6" s="825"/>
      <c r="AG6" s="652"/>
    </row>
    <row r="7" spans="1:33" hidden="1"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6"/>
      <c r="AE7" s="829"/>
      <c r="AF7" s="830"/>
      <c r="AG7" s="652"/>
    </row>
    <row r="8" spans="1:33" hidden="1" x14ac:dyDescent="0.2">
      <c r="A8" s="685">
        <v>1</v>
      </c>
      <c r="B8" s="686" t="s">
        <v>20</v>
      </c>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676">
        <f ca="1">SUM(AF8:AF8)</f>
        <v>364</v>
      </c>
      <c r="AE8" s="829" t="str">
        <f t="shared" ref="AE8:AE71" si="0">$B8</f>
        <v>Ivar Viljaste</v>
      </c>
      <c r="AF8" s="830">
        <f ca="1">IFERROR(INDEX(Reit!$I:$I,MATCH(AE8,Reit!$F:$F,0)),"")</f>
        <v>364</v>
      </c>
      <c r="AG8" s="652"/>
    </row>
    <row r="9" spans="1:33" hidden="1" x14ac:dyDescent="0.2">
      <c r="A9" s="685">
        <v>2</v>
      </c>
      <c r="B9" s="686" t="s">
        <v>225</v>
      </c>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27" si="1">IF(C9&gt;E9,J$3,IF(C9&lt;E9,J$5,IF(ISNUMBER(C9),J$4,0)))+IF(G9&gt;I9,J$3,IF(G9&lt;I9,J$5,IF(ISNUMBER(G9),J$4,0)))+IF(K9&gt;M9,J$3,IF(K9&lt;M9,J$5,IF(ISNUMBER(K9),J$4,0)))+IF(O9&gt;Q9,J$3,IF(O9&lt;Q9,J$5,IF(ISNUMBER(O9),J$4,0)))+IF(S9&gt;U9,J$3,IF(S9&lt;U9,J$5,IF(ISNUMBER(S9),J$4,0)))</f>
        <v>0</v>
      </c>
      <c r="X9" s="692"/>
      <c r="Y9" s="687">
        <f t="shared" ref="Y9:Y27" si="2">C9+G9+K9+O9+S9</f>
        <v>0</v>
      </c>
      <c r="Z9" s="688" t="s">
        <v>377</v>
      </c>
      <c r="AA9" s="693">
        <f t="shared" ref="AA9:AA27" si="3">E9+I9+M9+Q9+U9</f>
        <v>0</v>
      </c>
      <c r="AB9" s="694">
        <f t="shared" ref="AB9:AB27" si="4">Y9-AA9</f>
        <v>0</v>
      </c>
      <c r="AC9" s="695"/>
      <c r="AD9" s="676">
        <f ca="1">SUM(AF9:AF9)</f>
        <v>258</v>
      </c>
      <c r="AE9" s="829" t="str">
        <f t="shared" si="0"/>
        <v>Kenneth Muusikus</v>
      </c>
      <c r="AF9" s="830">
        <f ca="1">IFERROR(INDEX(Reit!$I:$I,MATCH(AE9,Reit!$F:$F,0)),"")</f>
        <v>258</v>
      </c>
      <c r="AG9" s="652"/>
    </row>
    <row r="10" spans="1:33" hidden="1" x14ac:dyDescent="0.2">
      <c r="A10" s="685">
        <v>3</v>
      </c>
      <c r="B10" s="686" t="s">
        <v>238</v>
      </c>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1"/>
        <v>0</v>
      </c>
      <c r="X10" s="692"/>
      <c r="Y10" s="687">
        <f t="shared" si="2"/>
        <v>0</v>
      </c>
      <c r="Z10" s="688" t="s">
        <v>377</v>
      </c>
      <c r="AA10" s="693">
        <f t="shared" si="3"/>
        <v>0</v>
      </c>
      <c r="AB10" s="694">
        <f t="shared" si="4"/>
        <v>0</v>
      </c>
      <c r="AC10" s="695"/>
      <c r="AD10" s="676">
        <f ca="1">SUM(AF10:AF10)</f>
        <v>120</v>
      </c>
      <c r="AE10" s="829" t="str">
        <f t="shared" si="0"/>
        <v>Kristo Viljaste</v>
      </c>
      <c r="AF10" s="830">
        <f ca="1">IFERROR(INDEX(Reit!$I:$I,MATCH(AE10,Reit!$F:$F,0)),"")</f>
        <v>120</v>
      </c>
      <c r="AG10" s="652"/>
    </row>
    <row r="11" spans="1:33" hidden="1" x14ac:dyDescent="0.2">
      <c r="A11" s="685">
        <v>4</v>
      </c>
      <c r="B11" s="686" t="s">
        <v>224</v>
      </c>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1"/>
        <v>0</v>
      </c>
      <c r="X11" s="692"/>
      <c r="Y11" s="687">
        <f t="shared" si="2"/>
        <v>0</v>
      </c>
      <c r="Z11" s="688" t="s">
        <v>377</v>
      </c>
      <c r="AA11" s="693">
        <f t="shared" si="3"/>
        <v>0</v>
      </c>
      <c r="AB11" s="694">
        <f t="shared" si="4"/>
        <v>0</v>
      </c>
      <c r="AC11" s="695"/>
      <c r="AD11" s="676">
        <f ca="1">SUM(AF11:AF11)</f>
        <v>258</v>
      </c>
      <c r="AE11" s="829" t="str">
        <f t="shared" si="0"/>
        <v>Elmo Lageda</v>
      </c>
      <c r="AF11" s="830">
        <f ca="1">IFERROR(INDEX(Reit!$I:$I,MATCH(AE11,Reit!$F:$F,0)),"")</f>
        <v>258</v>
      </c>
      <c r="AG11" s="652"/>
    </row>
    <row r="12" spans="1:33" hidden="1" x14ac:dyDescent="0.2">
      <c r="A12" s="685">
        <v>5</v>
      </c>
      <c r="B12" s="686" t="s">
        <v>222</v>
      </c>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1"/>
        <v>0</v>
      </c>
      <c r="X12" s="692"/>
      <c r="Y12" s="687">
        <f t="shared" si="2"/>
        <v>0</v>
      </c>
      <c r="Z12" s="688" t="s">
        <v>377</v>
      </c>
      <c r="AA12" s="693">
        <f t="shared" si="3"/>
        <v>0</v>
      </c>
      <c r="AB12" s="694">
        <f t="shared" si="4"/>
        <v>0</v>
      </c>
      <c r="AC12" s="695"/>
      <c r="AD12" s="676">
        <f t="shared" ref="AD12:AD75" ca="1" si="5">SUM(AF12:AF12)</f>
        <v>294</v>
      </c>
      <c r="AE12" s="829" t="str">
        <f t="shared" si="0"/>
        <v>Matti Vinni</v>
      </c>
      <c r="AF12" s="830">
        <f ca="1">IFERROR(INDEX(Reit!$I:$I,MATCH(AE12,Reit!$F:$F,0)),"")</f>
        <v>294</v>
      </c>
      <c r="AG12" s="652"/>
    </row>
    <row r="13" spans="1:33" hidden="1" x14ac:dyDescent="0.2">
      <c r="A13" s="685">
        <v>6</v>
      </c>
      <c r="B13" s="686" t="s">
        <v>220</v>
      </c>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1"/>
        <v>0</v>
      </c>
      <c r="X13" s="692"/>
      <c r="Y13" s="687">
        <f t="shared" si="2"/>
        <v>0</v>
      </c>
      <c r="Z13" s="688" t="s">
        <v>377</v>
      </c>
      <c r="AA13" s="693">
        <f t="shared" si="3"/>
        <v>0</v>
      </c>
      <c r="AB13" s="694">
        <f t="shared" si="4"/>
        <v>0</v>
      </c>
      <c r="AC13" s="695"/>
      <c r="AD13" s="676">
        <f t="shared" ca="1" si="5"/>
        <v>330</v>
      </c>
      <c r="AE13" s="829" t="str">
        <f t="shared" si="0"/>
        <v>Oskar Sepp</v>
      </c>
      <c r="AF13" s="830">
        <f ca="1">IFERROR(INDEX(Reit!$I:$I,MATCH(AE13,Reit!$F:$F,0)),"")</f>
        <v>330</v>
      </c>
      <c r="AG13" s="652"/>
    </row>
    <row r="14" spans="1:33" hidden="1" x14ac:dyDescent="0.2">
      <c r="A14" s="685">
        <v>7</v>
      </c>
      <c r="B14" s="696" t="s">
        <v>231</v>
      </c>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1"/>
        <v>0</v>
      </c>
      <c r="X14" s="692"/>
      <c r="Y14" s="687">
        <f t="shared" si="2"/>
        <v>0</v>
      </c>
      <c r="Z14" s="688" t="s">
        <v>377</v>
      </c>
      <c r="AA14" s="693">
        <f t="shared" si="3"/>
        <v>0</v>
      </c>
      <c r="AB14" s="694">
        <f t="shared" si="4"/>
        <v>0</v>
      </c>
      <c r="AC14" s="695"/>
      <c r="AD14" s="676">
        <f t="shared" ca="1" si="5"/>
        <v>190</v>
      </c>
      <c r="AE14" s="829" t="str">
        <f t="shared" si="0"/>
        <v>Boriss Klubov</v>
      </c>
      <c r="AF14" s="830">
        <f ca="1">IFERROR(INDEX(Reit!$I:$I,MATCH(AE14,Reit!$F:$F,0)),"")</f>
        <v>190</v>
      </c>
      <c r="AG14" s="652"/>
    </row>
    <row r="15" spans="1:33" hidden="1" x14ac:dyDescent="0.2">
      <c r="A15" s="685">
        <v>8</v>
      </c>
      <c r="B15" s="696" t="s">
        <v>235</v>
      </c>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1"/>
        <v>0</v>
      </c>
      <c r="X15" s="692"/>
      <c r="Y15" s="687">
        <f t="shared" si="2"/>
        <v>0</v>
      </c>
      <c r="Z15" s="688" t="s">
        <v>377</v>
      </c>
      <c r="AA15" s="693">
        <f t="shared" si="3"/>
        <v>0</v>
      </c>
      <c r="AB15" s="694">
        <f t="shared" si="4"/>
        <v>0</v>
      </c>
      <c r="AC15" s="695"/>
      <c r="AD15" s="676">
        <f t="shared" ca="1" si="5"/>
        <v>158</v>
      </c>
      <c r="AE15" s="829" t="str">
        <f t="shared" si="0"/>
        <v>Tõnu Kapper</v>
      </c>
      <c r="AF15" s="830">
        <f ca="1">IFERROR(INDEX(Reit!$I:$I,MATCH(AE15,Reit!$F:$F,0)),"")</f>
        <v>158</v>
      </c>
      <c r="AG15" s="652"/>
    </row>
    <row r="16" spans="1:33" hidden="1" x14ac:dyDescent="0.2">
      <c r="A16" s="685">
        <v>9</v>
      </c>
      <c r="B16" s="686" t="s">
        <v>221</v>
      </c>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1"/>
        <v>0</v>
      </c>
      <c r="X16" s="692"/>
      <c r="Y16" s="687">
        <f t="shared" si="2"/>
        <v>0</v>
      </c>
      <c r="Z16" s="688" t="s">
        <v>377</v>
      </c>
      <c r="AA16" s="693">
        <f t="shared" si="3"/>
        <v>0</v>
      </c>
      <c r="AB16" s="694">
        <f t="shared" si="4"/>
        <v>0</v>
      </c>
      <c r="AC16" s="695"/>
      <c r="AD16" s="676">
        <f t="shared" ca="1" si="5"/>
        <v>310</v>
      </c>
      <c r="AE16" s="829" t="str">
        <f t="shared" si="0"/>
        <v>Jaan Sepp</v>
      </c>
      <c r="AF16" s="830">
        <f ca="1">IFERROR(INDEX(Reit!$I:$I,MATCH(AE16,Reit!$F:$F,0)),"")</f>
        <v>310</v>
      </c>
      <c r="AG16" s="652"/>
    </row>
    <row r="17" spans="1:33" hidden="1" x14ac:dyDescent="0.2">
      <c r="A17" s="685">
        <v>10</v>
      </c>
      <c r="B17" s="686" t="s">
        <v>229</v>
      </c>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1"/>
        <v>0</v>
      </c>
      <c r="X17" s="692"/>
      <c r="Y17" s="687">
        <f t="shared" si="2"/>
        <v>0</v>
      </c>
      <c r="Z17" s="688" t="s">
        <v>377</v>
      </c>
      <c r="AA17" s="693">
        <f t="shared" si="3"/>
        <v>0</v>
      </c>
      <c r="AB17" s="694">
        <f t="shared" si="4"/>
        <v>0</v>
      </c>
      <c r="AC17" s="695"/>
      <c r="AD17" s="676">
        <f t="shared" ca="1" si="5"/>
        <v>224</v>
      </c>
      <c r="AE17" s="829" t="str">
        <f t="shared" si="0"/>
        <v>Janek Tarto</v>
      </c>
      <c r="AF17" s="830">
        <f ca="1">IFERROR(INDEX(Reit!$I:$I,MATCH(AE17,Reit!$F:$F,0)),"")</f>
        <v>224</v>
      </c>
      <c r="AG17" s="652"/>
    </row>
    <row r="18" spans="1:33" hidden="1" x14ac:dyDescent="0.2">
      <c r="A18" s="685">
        <v>11</v>
      </c>
      <c r="B18" s="696" t="s">
        <v>226</v>
      </c>
      <c r="C18" s="687"/>
      <c r="D18" s="688" t="s">
        <v>377</v>
      </c>
      <c r="E18" s="689"/>
      <c r="F18" s="690"/>
      <c r="G18" s="687"/>
      <c r="H18" s="688" t="s">
        <v>377</v>
      </c>
      <c r="I18" s="689"/>
      <c r="J18" s="690"/>
      <c r="K18" s="687"/>
      <c r="L18" s="688" t="s">
        <v>377</v>
      </c>
      <c r="M18" s="689"/>
      <c r="N18" s="690"/>
      <c r="O18" s="687"/>
      <c r="P18" s="688" t="s">
        <v>377</v>
      </c>
      <c r="Q18" s="689"/>
      <c r="R18" s="690"/>
      <c r="S18" s="687"/>
      <c r="T18" s="688" t="s">
        <v>377</v>
      </c>
      <c r="U18" s="689"/>
      <c r="V18" s="690"/>
      <c r="W18" s="691">
        <f t="shared" si="1"/>
        <v>0</v>
      </c>
      <c r="X18" s="692"/>
      <c r="Y18" s="687">
        <f t="shared" si="2"/>
        <v>0</v>
      </c>
      <c r="Z18" s="688" t="s">
        <v>377</v>
      </c>
      <c r="AA18" s="693">
        <f t="shared" si="3"/>
        <v>0</v>
      </c>
      <c r="AB18" s="694">
        <f t="shared" si="4"/>
        <v>0</v>
      </c>
      <c r="AC18" s="695"/>
      <c r="AD18" s="676">
        <f t="shared" ca="1" si="5"/>
        <v>250</v>
      </c>
      <c r="AE18" s="829" t="str">
        <f t="shared" si="0"/>
        <v>Tõnu Piik</v>
      </c>
      <c r="AF18" s="830">
        <f ca="1">IFERROR(INDEX(Reit!$I:$I,MATCH(AE18,Reit!$F:$F,0)),"")</f>
        <v>250</v>
      </c>
      <c r="AG18" s="652"/>
    </row>
    <row r="19" spans="1:33" hidden="1" x14ac:dyDescent="0.2">
      <c r="A19" s="685">
        <v>12</v>
      </c>
      <c r="B19" s="696" t="s">
        <v>244</v>
      </c>
      <c r="C19" s="687"/>
      <c r="D19" s="688" t="s">
        <v>377</v>
      </c>
      <c r="E19" s="689"/>
      <c r="F19" s="690"/>
      <c r="G19" s="687"/>
      <c r="H19" s="688" t="s">
        <v>377</v>
      </c>
      <c r="I19" s="689"/>
      <c r="J19" s="690"/>
      <c r="K19" s="687"/>
      <c r="L19" s="688" t="s">
        <v>377</v>
      </c>
      <c r="M19" s="689"/>
      <c r="N19" s="690"/>
      <c r="O19" s="687"/>
      <c r="P19" s="688" t="s">
        <v>377</v>
      </c>
      <c r="Q19" s="689"/>
      <c r="R19" s="690"/>
      <c r="S19" s="687"/>
      <c r="T19" s="688" t="s">
        <v>377</v>
      </c>
      <c r="U19" s="689"/>
      <c r="V19" s="690"/>
      <c r="W19" s="691">
        <f t="shared" si="1"/>
        <v>0</v>
      </c>
      <c r="X19" s="692"/>
      <c r="Y19" s="687">
        <f t="shared" si="2"/>
        <v>0</v>
      </c>
      <c r="Z19" s="688" t="s">
        <v>377</v>
      </c>
      <c r="AA19" s="693">
        <f t="shared" si="3"/>
        <v>0</v>
      </c>
      <c r="AB19" s="694">
        <f t="shared" si="4"/>
        <v>0</v>
      </c>
      <c r="AC19" s="695"/>
      <c r="AD19" s="676">
        <f t="shared" ca="1" si="5"/>
        <v>80</v>
      </c>
      <c r="AE19" s="829" t="str">
        <f t="shared" si="0"/>
        <v>Enn Tokman</v>
      </c>
      <c r="AF19" s="830">
        <f ca="1">IFERROR(INDEX(Reit!$I:$I,MATCH(AE19,Reit!$F:$F,0)),"")</f>
        <v>80</v>
      </c>
      <c r="AG19" s="652"/>
    </row>
    <row r="20" spans="1:33" hidden="1" x14ac:dyDescent="0.2">
      <c r="A20" s="685">
        <v>13</v>
      </c>
      <c r="B20" s="686" t="s">
        <v>251</v>
      </c>
      <c r="C20" s="687"/>
      <c r="D20" s="688" t="s">
        <v>377</v>
      </c>
      <c r="E20" s="689"/>
      <c r="F20" s="690"/>
      <c r="G20" s="687"/>
      <c r="H20" s="688" t="s">
        <v>377</v>
      </c>
      <c r="I20" s="689"/>
      <c r="J20" s="690"/>
      <c r="K20" s="687"/>
      <c r="L20" s="688" t="s">
        <v>377</v>
      </c>
      <c r="M20" s="689"/>
      <c r="N20" s="690"/>
      <c r="O20" s="687"/>
      <c r="P20" s="688" t="s">
        <v>377</v>
      </c>
      <c r="Q20" s="689"/>
      <c r="R20" s="690"/>
      <c r="S20" s="687"/>
      <c r="T20" s="688" t="s">
        <v>377</v>
      </c>
      <c r="U20" s="689"/>
      <c r="V20" s="690"/>
      <c r="W20" s="691">
        <f t="shared" si="1"/>
        <v>0</v>
      </c>
      <c r="X20" s="692"/>
      <c r="Y20" s="687">
        <f t="shared" si="2"/>
        <v>0</v>
      </c>
      <c r="Z20" s="688" t="s">
        <v>377</v>
      </c>
      <c r="AA20" s="693">
        <f t="shared" si="3"/>
        <v>0</v>
      </c>
      <c r="AB20" s="694">
        <f t="shared" si="4"/>
        <v>0</v>
      </c>
      <c r="AC20" s="695"/>
      <c r="AD20" s="676">
        <f t="shared" ca="1" si="5"/>
        <v>57</v>
      </c>
      <c r="AE20" s="829" t="str">
        <f t="shared" si="0"/>
        <v>Kaspar Mänd</v>
      </c>
      <c r="AF20" s="830">
        <f ca="1">IFERROR(INDEX(Reit!$I:$I,MATCH(AE20,Reit!$F:$F,0)),"")</f>
        <v>57</v>
      </c>
      <c r="AG20" s="652"/>
    </row>
    <row r="21" spans="1:33" hidden="1" x14ac:dyDescent="0.2">
      <c r="A21" s="685">
        <v>14</v>
      </c>
      <c r="B21" s="696" t="s">
        <v>241</v>
      </c>
      <c r="C21" s="687"/>
      <c r="D21" s="688" t="s">
        <v>377</v>
      </c>
      <c r="E21" s="689"/>
      <c r="F21" s="690"/>
      <c r="G21" s="687"/>
      <c r="H21" s="688" t="s">
        <v>377</v>
      </c>
      <c r="I21" s="689"/>
      <c r="J21" s="690"/>
      <c r="K21" s="687"/>
      <c r="L21" s="688" t="s">
        <v>377</v>
      </c>
      <c r="M21" s="689"/>
      <c r="N21" s="690"/>
      <c r="O21" s="687"/>
      <c r="P21" s="688" t="s">
        <v>377</v>
      </c>
      <c r="Q21" s="689"/>
      <c r="R21" s="690"/>
      <c r="S21" s="687"/>
      <c r="T21" s="688" t="s">
        <v>377</v>
      </c>
      <c r="U21" s="689"/>
      <c r="V21" s="690"/>
      <c r="W21" s="691">
        <f t="shared" si="1"/>
        <v>0</v>
      </c>
      <c r="X21" s="692"/>
      <c r="Y21" s="687">
        <f t="shared" si="2"/>
        <v>0</v>
      </c>
      <c r="Z21" s="688" t="s">
        <v>377</v>
      </c>
      <c r="AA21" s="693">
        <f t="shared" si="3"/>
        <v>0</v>
      </c>
      <c r="AB21" s="694">
        <f t="shared" si="4"/>
        <v>0</v>
      </c>
      <c r="AC21" s="695"/>
      <c r="AD21" s="676">
        <f t="shared" ca="1" si="5"/>
        <v>95</v>
      </c>
      <c r="AE21" s="829" t="str">
        <f t="shared" si="0"/>
        <v>Urmas Randlaine</v>
      </c>
      <c r="AF21" s="830">
        <f ca="1">IFERROR(INDEX(Reit!$I:$I,MATCH(AE21,Reit!$F:$F,0)),"")</f>
        <v>95</v>
      </c>
      <c r="AG21" s="652"/>
    </row>
    <row r="22" spans="1:33" hidden="1" x14ac:dyDescent="0.2">
      <c r="A22" s="685">
        <v>15</v>
      </c>
      <c r="B22" s="696" t="s">
        <v>252</v>
      </c>
      <c r="C22" s="687"/>
      <c r="D22" s="688" t="s">
        <v>377</v>
      </c>
      <c r="E22" s="689"/>
      <c r="F22" s="690"/>
      <c r="G22" s="687"/>
      <c r="H22" s="688" t="s">
        <v>377</v>
      </c>
      <c r="I22" s="689"/>
      <c r="J22" s="690"/>
      <c r="K22" s="687"/>
      <c r="L22" s="688" t="s">
        <v>377</v>
      </c>
      <c r="M22" s="689"/>
      <c r="N22" s="690"/>
      <c r="O22" s="687"/>
      <c r="P22" s="688" t="s">
        <v>377</v>
      </c>
      <c r="Q22" s="689"/>
      <c r="R22" s="690"/>
      <c r="S22" s="687"/>
      <c r="T22" s="688" t="s">
        <v>377</v>
      </c>
      <c r="U22" s="689"/>
      <c r="V22" s="690"/>
      <c r="W22" s="691">
        <f t="shared" si="1"/>
        <v>0</v>
      </c>
      <c r="X22" s="692"/>
      <c r="Y22" s="687">
        <f t="shared" si="2"/>
        <v>0</v>
      </c>
      <c r="Z22" s="688" t="s">
        <v>377</v>
      </c>
      <c r="AA22" s="693">
        <f t="shared" si="3"/>
        <v>0</v>
      </c>
      <c r="AB22" s="694">
        <f t="shared" si="4"/>
        <v>0</v>
      </c>
      <c r="AC22" s="695"/>
      <c r="AD22" s="676">
        <f t="shared" ca="1" si="5"/>
        <v>55</v>
      </c>
      <c r="AE22" s="829" t="str">
        <f t="shared" si="0"/>
        <v>Lemmit Toomra</v>
      </c>
      <c r="AF22" s="830">
        <f ca="1">IFERROR(INDEX(Reit!$I:$I,MATCH(AE22,Reit!$F:$F,0)),"")</f>
        <v>55</v>
      </c>
      <c r="AG22" s="652"/>
    </row>
    <row r="23" spans="1:33" hidden="1" x14ac:dyDescent="0.2">
      <c r="A23" s="685">
        <v>16</v>
      </c>
      <c r="B23" s="686" t="s">
        <v>250</v>
      </c>
      <c r="C23" s="687"/>
      <c r="D23" s="688" t="s">
        <v>377</v>
      </c>
      <c r="E23" s="689"/>
      <c r="F23" s="690"/>
      <c r="G23" s="687"/>
      <c r="H23" s="688" t="s">
        <v>377</v>
      </c>
      <c r="I23" s="689"/>
      <c r="J23" s="690"/>
      <c r="K23" s="687"/>
      <c r="L23" s="688" t="s">
        <v>377</v>
      </c>
      <c r="M23" s="689"/>
      <c r="N23" s="690"/>
      <c r="O23" s="687"/>
      <c r="P23" s="688" t="s">
        <v>377</v>
      </c>
      <c r="Q23" s="689"/>
      <c r="R23" s="690"/>
      <c r="S23" s="687"/>
      <c r="T23" s="688" t="s">
        <v>377</v>
      </c>
      <c r="U23" s="689"/>
      <c r="V23" s="690"/>
      <c r="W23" s="691">
        <f t="shared" si="1"/>
        <v>0</v>
      </c>
      <c r="X23" s="692"/>
      <c r="Y23" s="687">
        <f t="shared" si="2"/>
        <v>0</v>
      </c>
      <c r="Z23" s="688" t="s">
        <v>377</v>
      </c>
      <c r="AA23" s="693">
        <f t="shared" si="3"/>
        <v>0</v>
      </c>
      <c r="AB23" s="694">
        <f t="shared" si="4"/>
        <v>0</v>
      </c>
      <c r="AC23" s="695"/>
      <c r="AD23" s="676">
        <f t="shared" ca="1" si="5"/>
        <v>57</v>
      </c>
      <c r="AE23" s="829" t="str">
        <f t="shared" si="0"/>
        <v>Sandra Laura Nõmmeloo</v>
      </c>
      <c r="AF23" s="830">
        <f ca="1">IFERROR(INDEX(Reit!$I:$I,MATCH(AE23,Reit!$F:$F,0)),"")</f>
        <v>57</v>
      </c>
      <c r="AG23" s="652"/>
    </row>
    <row r="24" spans="1:33" hidden="1" x14ac:dyDescent="0.2">
      <c r="A24" s="685">
        <v>17</v>
      </c>
      <c r="B24" s="696" t="s">
        <v>260</v>
      </c>
      <c r="C24" s="687"/>
      <c r="D24" s="688" t="s">
        <v>377</v>
      </c>
      <c r="E24" s="689"/>
      <c r="F24" s="690"/>
      <c r="G24" s="687"/>
      <c r="H24" s="688" t="s">
        <v>377</v>
      </c>
      <c r="I24" s="689"/>
      <c r="J24" s="690"/>
      <c r="K24" s="687"/>
      <c r="L24" s="688" t="s">
        <v>377</v>
      </c>
      <c r="M24" s="689"/>
      <c r="N24" s="690"/>
      <c r="O24" s="687"/>
      <c r="P24" s="688" t="s">
        <v>377</v>
      </c>
      <c r="Q24" s="689"/>
      <c r="R24" s="690"/>
      <c r="S24" s="687"/>
      <c r="T24" s="688" t="s">
        <v>377</v>
      </c>
      <c r="U24" s="689"/>
      <c r="V24" s="690"/>
      <c r="W24" s="691">
        <f t="shared" si="1"/>
        <v>0</v>
      </c>
      <c r="X24" s="692"/>
      <c r="Y24" s="687">
        <f t="shared" si="2"/>
        <v>0</v>
      </c>
      <c r="Z24" s="688" t="s">
        <v>377</v>
      </c>
      <c r="AA24" s="693">
        <f t="shared" si="3"/>
        <v>0</v>
      </c>
      <c r="AB24" s="694">
        <f t="shared" si="4"/>
        <v>0</v>
      </c>
      <c r="AC24" s="695"/>
      <c r="AD24" s="676">
        <f t="shared" ca="1" si="5"/>
        <v>37</v>
      </c>
      <c r="AE24" s="829" t="str">
        <f t="shared" si="0"/>
        <v>Urmas Jõeäär</v>
      </c>
      <c r="AF24" s="830">
        <f ca="1">IFERROR(INDEX(Reit!$I:$I,MATCH(AE24,Reit!$F:$F,0)),"")</f>
        <v>37</v>
      </c>
      <c r="AG24" s="652"/>
    </row>
    <row r="25" spans="1:33" hidden="1" x14ac:dyDescent="0.2">
      <c r="A25" s="685">
        <v>18</v>
      </c>
      <c r="B25" s="696" t="s">
        <v>232</v>
      </c>
      <c r="C25" s="687"/>
      <c r="D25" s="688" t="s">
        <v>377</v>
      </c>
      <c r="E25" s="689"/>
      <c r="F25" s="690"/>
      <c r="G25" s="687"/>
      <c r="H25" s="688" t="s">
        <v>377</v>
      </c>
      <c r="I25" s="689"/>
      <c r="J25" s="690"/>
      <c r="K25" s="687"/>
      <c r="L25" s="688" t="s">
        <v>377</v>
      </c>
      <c r="M25" s="689"/>
      <c r="N25" s="690"/>
      <c r="O25" s="687"/>
      <c r="P25" s="688" t="s">
        <v>377</v>
      </c>
      <c r="Q25" s="689"/>
      <c r="R25" s="690"/>
      <c r="S25" s="687"/>
      <c r="T25" s="688" t="s">
        <v>377</v>
      </c>
      <c r="U25" s="689"/>
      <c r="V25" s="690"/>
      <c r="W25" s="691">
        <f t="shared" si="1"/>
        <v>0</v>
      </c>
      <c r="X25" s="692"/>
      <c r="Y25" s="687">
        <f t="shared" si="2"/>
        <v>0</v>
      </c>
      <c r="Z25" s="688" t="s">
        <v>377</v>
      </c>
      <c r="AA25" s="693">
        <f t="shared" si="3"/>
        <v>0</v>
      </c>
      <c r="AB25" s="694">
        <f t="shared" si="4"/>
        <v>0</v>
      </c>
      <c r="AC25" s="695"/>
      <c r="AD25" s="676">
        <f t="shared" ca="1" si="5"/>
        <v>168</v>
      </c>
      <c r="AE25" s="829" t="str">
        <f t="shared" si="0"/>
        <v>Andrei Grintšak</v>
      </c>
      <c r="AF25" s="830">
        <f ca="1">IFERROR(INDEX(Reit!$I:$I,MATCH(AE25,Reit!$F:$F,0)),"")</f>
        <v>168</v>
      </c>
      <c r="AG25" s="652"/>
    </row>
    <row r="26" spans="1:33" hidden="1" x14ac:dyDescent="0.2">
      <c r="A26" s="685">
        <v>19</v>
      </c>
      <c r="B26" s="686" t="s">
        <v>269</v>
      </c>
      <c r="C26" s="687"/>
      <c r="D26" s="688" t="s">
        <v>377</v>
      </c>
      <c r="E26" s="689"/>
      <c r="F26" s="690"/>
      <c r="G26" s="687"/>
      <c r="H26" s="688" t="s">
        <v>377</v>
      </c>
      <c r="I26" s="689"/>
      <c r="J26" s="690"/>
      <c r="K26" s="687"/>
      <c r="L26" s="688" t="s">
        <v>377</v>
      </c>
      <c r="M26" s="689"/>
      <c r="N26" s="690"/>
      <c r="O26" s="687"/>
      <c r="P26" s="688" t="s">
        <v>377</v>
      </c>
      <c r="Q26" s="689"/>
      <c r="R26" s="690"/>
      <c r="S26" s="687"/>
      <c r="T26" s="688" t="s">
        <v>377</v>
      </c>
      <c r="U26" s="689"/>
      <c r="V26" s="690"/>
      <c r="W26" s="691">
        <f t="shared" si="1"/>
        <v>0</v>
      </c>
      <c r="X26" s="692"/>
      <c r="Y26" s="687">
        <f t="shared" si="2"/>
        <v>0</v>
      </c>
      <c r="Z26" s="688" t="s">
        <v>377</v>
      </c>
      <c r="AA26" s="693">
        <f t="shared" si="3"/>
        <v>0</v>
      </c>
      <c r="AB26" s="694">
        <f t="shared" si="4"/>
        <v>0</v>
      </c>
      <c r="AC26" s="695"/>
      <c r="AD26" s="676">
        <f t="shared" ca="1" si="5"/>
        <v>17</v>
      </c>
      <c r="AE26" s="829" t="str">
        <f t="shared" si="0"/>
        <v>Vladimir Mihhailov</v>
      </c>
      <c r="AF26" s="830">
        <f ca="1">IFERROR(INDEX(Reit!$I:$I,MATCH(AE26,Reit!$F:$F,0)),"")</f>
        <v>17</v>
      </c>
      <c r="AG26" s="652"/>
    </row>
    <row r="27" spans="1:33" hidden="1" x14ac:dyDescent="0.2">
      <c r="A27" s="685">
        <v>20</v>
      </c>
      <c r="B27" s="696" t="s">
        <v>276</v>
      </c>
      <c r="C27" s="687"/>
      <c r="D27" s="688" t="s">
        <v>377</v>
      </c>
      <c r="E27" s="689"/>
      <c r="F27" s="690"/>
      <c r="G27" s="687"/>
      <c r="H27" s="688" t="s">
        <v>377</v>
      </c>
      <c r="I27" s="689"/>
      <c r="J27" s="690"/>
      <c r="K27" s="687"/>
      <c r="L27" s="688" t="s">
        <v>377</v>
      </c>
      <c r="M27" s="689"/>
      <c r="N27" s="690"/>
      <c r="O27" s="687"/>
      <c r="P27" s="688" t="s">
        <v>377</v>
      </c>
      <c r="Q27" s="689"/>
      <c r="R27" s="690"/>
      <c r="S27" s="687"/>
      <c r="T27" s="688" t="s">
        <v>377</v>
      </c>
      <c r="U27" s="689"/>
      <c r="V27" s="690"/>
      <c r="W27" s="691">
        <f t="shared" si="1"/>
        <v>0</v>
      </c>
      <c r="X27" s="692"/>
      <c r="Y27" s="687">
        <f t="shared" si="2"/>
        <v>0</v>
      </c>
      <c r="Z27" s="688" t="s">
        <v>377</v>
      </c>
      <c r="AA27" s="693">
        <f t="shared" si="3"/>
        <v>0</v>
      </c>
      <c r="AB27" s="694">
        <f t="shared" si="4"/>
        <v>0</v>
      </c>
      <c r="AC27" s="695"/>
      <c r="AD27" s="676">
        <f t="shared" ca="1" si="5"/>
        <v>1</v>
      </c>
      <c r="AE27" s="829" t="str">
        <f t="shared" si="0"/>
        <v>Vilmar Ostumaa</v>
      </c>
      <c r="AF27" s="830">
        <f ca="1">IFERROR(INDEX(Reit!$I:$I,MATCH(AE27,Reit!$F:$F,0)),"")</f>
        <v>1</v>
      </c>
      <c r="AG27" s="652"/>
    </row>
    <row r="28" spans="1:33" hidden="1" x14ac:dyDescent="0.2">
      <c r="A28" s="685">
        <v>21</v>
      </c>
      <c r="B28" s="686" t="s">
        <v>259</v>
      </c>
      <c r="C28" s="687"/>
      <c r="D28" s="688" t="s">
        <v>377</v>
      </c>
      <c r="E28" s="689"/>
      <c r="F28" s="690"/>
      <c r="G28" s="687"/>
      <c r="H28" s="688" t="s">
        <v>377</v>
      </c>
      <c r="I28" s="689"/>
      <c r="J28" s="690"/>
      <c r="K28" s="687"/>
      <c r="L28" s="688" t="s">
        <v>377</v>
      </c>
      <c r="M28" s="689"/>
      <c r="N28" s="690"/>
      <c r="O28" s="687"/>
      <c r="P28" s="688" t="s">
        <v>377</v>
      </c>
      <c r="Q28" s="689"/>
      <c r="R28" s="690"/>
      <c r="S28" s="687"/>
      <c r="T28" s="688" t="s">
        <v>377</v>
      </c>
      <c r="U28" s="689"/>
      <c r="V28" s="690"/>
      <c r="W28" s="691">
        <f>IF(C28&gt;E28,J$3,IF(C28&lt;E28,J$5,IF(ISNUMBER(C28),J$4,0)))+IF(G28&gt;I28,J$3,IF(G28&lt;I28,J$5,IF(ISNUMBER(G28),J$4,0)))+IF(K28&gt;M28,J$3,IF(K28&lt;M28,J$5,IF(ISNUMBER(K28),J$4,0)))+IF(O28&gt;Q28,J$3,IF(O28&lt;Q28,J$5,IF(ISNUMBER(O28),J$4,0)))+IF(S28&gt;U28,J$3,IF(S28&lt;U28,J$5,IF(ISNUMBER(S28),J$4,0)))</f>
        <v>0</v>
      </c>
      <c r="X28" s="692"/>
      <c r="Y28" s="687">
        <f>C28+G28+K28+O28+S28</f>
        <v>0</v>
      </c>
      <c r="Z28" s="688" t="s">
        <v>377</v>
      </c>
      <c r="AA28" s="693">
        <f>E28+I28+M28+Q28+U28</f>
        <v>0</v>
      </c>
      <c r="AB28" s="694">
        <f>Y28-AA28</f>
        <v>0</v>
      </c>
      <c r="AC28" s="695"/>
      <c r="AD28" s="676">
        <f t="shared" ca="1" si="5"/>
        <v>39</v>
      </c>
      <c r="AE28" s="829" t="str">
        <f t="shared" si="0"/>
        <v>Illar Tõnurist</v>
      </c>
      <c r="AF28" s="830">
        <f ca="1">IFERROR(INDEX(Reit!$I:$I,MATCH(AE28,Reit!$F:$F,0)),"")</f>
        <v>39</v>
      </c>
      <c r="AG28" s="652"/>
    </row>
    <row r="29" spans="1:33" hidden="1" x14ac:dyDescent="0.2">
      <c r="A29" s="685">
        <v>22</v>
      </c>
      <c r="B29" s="696" t="s">
        <v>257</v>
      </c>
      <c r="C29" s="687"/>
      <c r="D29" s="688" t="s">
        <v>377</v>
      </c>
      <c r="E29" s="689"/>
      <c r="F29" s="690"/>
      <c r="G29" s="687"/>
      <c r="H29" s="688" t="s">
        <v>377</v>
      </c>
      <c r="I29" s="689"/>
      <c r="J29" s="690"/>
      <c r="K29" s="687"/>
      <c r="L29" s="688" t="s">
        <v>377</v>
      </c>
      <c r="M29" s="689"/>
      <c r="N29" s="690"/>
      <c r="O29" s="687"/>
      <c r="P29" s="688" t="s">
        <v>377</v>
      </c>
      <c r="Q29" s="689"/>
      <c r="R29" s="690"/>
      <c r="S29" s="687"/>
      <c r="T29" s="688" t="s">
        <v>377</v>
      </c>
      <c r="U29" s="689"/>
      <c r="V29" s="690"/>
      <c r="W29" s="691">
        <f>IF(C29&gt;E29,J$3,IF(C29&lt;E29,J$5,IF(ISNUMBER(C29),J$4,0)))+IF(G29&gt;I29,J$3,IF(G29&lt;I29,J$5,IF(ISNUMBER(G29),J$4,0)))+IF(K29&gt;M29,J$3,IF(K29&lt;M29,J$5,IF(ISNUMBER(K29),J$4,0)))+IF(O29&gt;Q29,J$3,IF(O29&lt;Q29,J$5,IF(ISNUMBER(O29),J$4,0)))+IF(S29&gt;U29,J$3,IF(S29&lt;U29,J$5,IF(ISNUMBER(S29),J$4,0)))</f>
        <v>0</v>
      </c>
      <c r="X29" s="692"/>
      <c r="Y29" s="687">
        <f>C29+G29+K29+O29+S29</f>
        <v>0</v>
      </c>
      <c r="Z29" s="688" t="s">
        <v>377</v>
      </c>
      <c r="AA29" s="693">
        <f>E29+I29+M29+Q29+U29</f>
        <v>0</v>
      </c>
      <c r="AB29" s="694">
        <f>Y29-AA29</f>
        <v>0</v>
      </c>
      <c r="AC29" s="695"/>
      <c r="AD29" s="676">
        <f t="shared" ca="1" si="5"/>
        <v>46</v>
      </c>
      <c r="AE29" s="829" t="str">
        <f t="shared" si="0"/>
        <v>Liidia Põllu</v>
      </c>
      <c r="AF29" s="830">
        <f ca="1">IFERROR(INDEX(Reit!$I:$I,MATCH(AE29,Reit!$F:$F,0)),"")</f>
        <v>46</v>
      </c>
      <c r="AG29" s="652"/>
    </row>
    <row r="30" spans="1:33"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76">
        <f t="shared" si="5"/>
        <v>0</v>
      </c>
      <c r="AE30" s="829">
        <f t="shared" si="0"/>
        <v>0</v>
      </c>
      <c r="AF30" s="830" t="str">
        <f>IFERROR(INDEX(Reit!$I:$I,MATCH(AE30,Reit!$F:$F,0)),"")</f>
        <v/>
      </c>
      <c r="AG30" s="652"/>
    </row>
    <row r="31" spans="1:33"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76">
        <f t="shared" si="5"/>
        <v>0</v>
      </c>
      <c r="AE31" s="829">
        <f t="shared" si="0"/>
        <v>0</v>
      </c>
      <c r="AF31" s="830" t="str">
        <f>IFERROR(INDEX(Reit!$I:$I,MATCH(AE31,Reit!$F:$F,0)),"")</f>
        <v/>
      </c>
      <c r="AG31" s="652"/>
    </row>
    <row r="32" spans="1:33"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76">
        <f t="shared" si="5"/>
        <v>0</v>
      </c>
      <c r="AE32" s="829">
        <f t="shared" si="0"/>
        <v>0</v>
      </c>
      <c r="AF32" s="830" t="str">
        <f>IFERROR(INDEX(Reit!$I:$I,MATCH(AE32,Reit!$F:$F,0)),"")</f>
        <v/>
      </c>
      <c r="AG32" s="652"/>
    </row>
    <row r="33" spans="1:33"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76">
        <f t="shared" si="5"/>
        <v>0</v>
      </c>
      <c r="AE33" s="829">
        <f t="shared" si="0"/>
        <v>0</v>
      </c>
      <c r="AF33" s="830" t="str">
        <f>IFERROR(INDEX(Reit!$I:$I,MATCH(AE33,Reit!$F:$F,0)),"")</f>
        <v/>
      </c>
      <c r="AG33" s="652"/>
    </row>
    <row r="34" spans="1:33"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76">
        <f t="shared" si="5"/>
        <v>0</v>
      </c>
      <c r="AE34" s="829">
        <f t="shared" si="0"/>
        <v>0</v>
      </c>
      <c r="AF34" s="830" t="str">
        <f>IFERROR(INDEX(Reit!$I:$I,MATCH(AE34,Reit!$F:$F,0)),"")</f>
        <v/>
      </c>
      <c r="AG34" s="652"/>
    </row>
    <row r="35" spans="1:33"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76">
        <f t="shared" si="5"/>
        <v>0</v>
      </c>
      <c r="AE35" s="829">
        <f t="shared" si="0"/>
        <v>0</v>
      </c>
      <c r="AF35" s="830" t="str">
        <f>IFERROR(INDEX(Reit!$I:$I,MATCH(AE35,Reit!$F:$F,0)),"")</f>
        <v/>
      </c>
      <c r="AG35" s="652"/>
    </row>
    <row r="36" spans="1:33"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76">
        <f t="shared" si="5"/>
        <v>0</v>
      </c>
      <c r="AE36" s="829">
        <f t="shared" si="0"/>
        <v>0</v>
      </c>
      <c r="AF36" s="830" t="str">
        <f>IFERROR(INDEX(Reit!$I:$I,MATCH(AE36,Reit!$F:$F,0)),"")</f>
        <v/>
      </c>
      <c r="AG36" s="652"/>
    </row>
    <row r="37" spans="1:33"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76">
        <f t="shared" si="5"/>
        <v>0</v>
      </c>
      <c r="AE37" s="829">
        <f t="shared" si="0"/>
        <v>0</v>
      </c>
      <c r="AF37" s="830" t="str">
        <f>IFERROR(INDEX(Reit!$I:$I,MATCH(AE37,Reit!$F:$F,0)),"")</f>
        <v/>
      </c>
      <c r="AG37" s="652"/>
    </row>
    <row r="38" spans="1:33"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76">
        <f t="shared" si="5"/>
        <v>0</v>
      </c>
      <c r="AE38" s="829">
        <f t="shared" si="0"/>
        <v>0</v>
      </c>
      <c r="AF38" s="830" t="str">
        <f>IFERROR(INDEX(Reit!$I:$I,MATCH(AE38,Reit!$F:$F,0)),"")</f>
        <v/>
      </c>
      <c r="AG38" s="652"/>
    </row>
    <row r="39" spans="1:33"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76">
        <f t="shared" si="5"/>
        <v>0</v>
      </c>
      <c r="AE39" s="829">
        <f t="shared" si="0"/>
        <v>0</v>
      </c>
      <c r="AF39" s="830" t="str">
        <f>IFERROR(INDEX(Reit!$I:$I,MATCH(AE39,Reit!$F:$F,0)),"")</f>
        <v/>
      </c>
      <c r="AG39" s="652"/>
    </row>
    <row r="40" spans="1:33"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76">
        <f t="shared" si="5"/>
        <v>0</v>
      </c>
      <c r="AE40" s="829">
        <f t="shared" si="0"/>
        <v>0</v>
      </c>
      <c r="AF40" s="830" t="str">
        <f>IFERROR(INDEX(Reit!$I:$I,MATCH(AE40,Reit!$F:$F,0)),"")</f>
        <v/>
      </c>
      <c r="AG40" s="652"/>
    </row>
    <row r="41" spans="1:33"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76">
        <f t="shared" si="5"/>
        <v>0</v>
      </c>
      <c r="AE41" s="829">
        <f t="shared" si="0"/>
        <v>0</v>
      </c>
      <c r="AF41" s="830" t="str">
        <f>IFERROR(INDEX(Reit!$I:$I,MATCH(AE41,Reit!$F:$F,0)),"")</f>
        <v/>
      </c>
      <c r="AG41" s="652"/>
    </row>
    <row r="42" spans="1:33"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76">
        <f t="shared" si="5"/>
        <v>0</v>
      </c>
      <c r="AE42" s="829">
        <f t="shared" si="0"/>
        <v>0</v>
      </c>
      <c r="AF42" s="830" t="str">
        <f>IFERROR(INDEX(Reit!$I:$I,MATCH(AE42,Reit!$F:$F,0)),"")</f>
        <v/>
      </c>
      <c r="AG42" s="652"/>
    </row>
    <row r="43" spans="1:33"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76">
        <f t="shared" si="5"/>
        <v>0</v>
      </c>
      <c r="AE43" s="829">
        <f t="shared" si="0"/>
        <v>0</v>
      </c>
      <c r="AF43" s="830" t="str">
        <f>IFERROR(INDEX(Reit!$I:$I,MATCH(AE43,Reit!$F:$F,0)),"")</f>
        <v/>
      </c>
      <c r="AG43" s="652"/>
    </row>
    <row r="44" spans="1:33"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76">
        <f t="shared" si="5"/>
        <v>0</v>
      </c>
      <c r="AE44" s="829">
        <f t="shared" si="0"/>
        <v>0</v>
      </c>
      <c r="AF44" s="830" t="str">
        <f>IFERROR(INDEX(Reit!$I:$I,MATCH(AE44,Reit!$F:$F,0)),"")</f>
        <v/>
      </c>
      <c r="AG44" s="652"/>
    </row>
    <row r="45" spans="1:33"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76">
        <f t="shared" si="5"/>
        <v>0</v>
      </c>
      <c r="AE45" s="829">
        <f t="shared" si="0"/>
        <v>0</v>
      </c>
      <c r="AF45" s="830" t="str">
        <f>IFERROR(INDEX(Reit!$I:$I,MATCH(AE45,Reit!$F:$F,0)),"")</f>
        <v/>
      </c>
      <c r="AG45" s="652"/>
    </row>
    <row r="46" spans="1:33"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76">
        <f t="shared" si="5"/>
        <v>0</v>
      </c>
      <c r="AE46" s="829">
        <f t="shared" si="0"/>
        <v>0</v>
      </c>
      <c r="AF46" s="830" t="str">
        <f>IFERROR(INDEX(Reit!$I:$I,MATCH(AE46,Reit!$F:$F,0)),"")</f>
        <v/>
      </c>
      <c r="AG46" s="652"/>
    </row>
    <row r="47" spans="1:33"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76">
        <f t="shared" si="5"/>
        <v>0</v>
      </c>
      <c r="AE47" s="829">
        <f t="shared" si="0"/>
        <v>0</v>
      </c>
      <c r="AF47" s="830" t="str">
        <f>IFERROR(INDEX(Reit!$I:$I,MATCH(AE47,Reit!$F:$F,0)),"")</f>
        <v/>
      </c>
      <c r="AG47" s="652"/>
    </row>
    <row r="48" spans="1:33"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76">
        <f t="shared" si="5"/>
        <v>0</v>
      </c>
      <c r="AE48" s="829">
        <f t="shared" si="0"/>
        <v>0</v>
      </c>
      <c r="AF48" s="830" t="str">
        <f>IFERROR(INDEX(Reit!$I:$I,MATCH(AE48,Reit!$F:$F,0)),"")</f>
        <v/>
      </c>
      <c r="AG48" s="652"/>
    </row>
    <row r="49" spans="1:33"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76">
        <f t="shared" si="5"/>
        <v>0</v>
      </c>
      <c r="AE49" s="829">
        <f t="shared" si="0"/>
        <v>0</v>
      </c>
      <c r="AF49" s="830" t="str">
        <f>IFERROR(INDEX(Reit!$I:$I,MATCH(AE49,Reit!$F:$F,0)),"")</f>
        <v/>
      </c>
      <c r="AG49" s="652"/>
    </row>
    <row r="50" spans="1:33"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76">
        <f t="shared" si="5"/>
        <v>0</v>
      </c>
      <c r="AE50" s="829">
        <f t="shared" si="0"/>
        <v>0</v>
      </c>
      <c r="AF50" s="830" t="str">
        <f>IFERROR(INDEX(Reit!$I:$I,MATCH(AE50,Reit!$F:$F,0)),"")</f>
        <v/>
      </c>
      <c r="AG50" s="652"/>
    </row>
    <row r="51" spans="1:33"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76">
        <f t="shared" si="5"/>
        <v>0</v>
      </c>
      <c r="AE51" s="829">
        <f t="shared" si="0"/>
        <v>0</v>
      </c>
      <c r="AF51" s="830" t="str">
        <f>IFERROR(INDEX(Reit!$I:$I,MATCH(AE51,Reit!$F:$F,0)),"")</f>
        <v/>
      </c>
      <c r="AG51" s="652"/>
    </row>
    <row r="52" spans="1:33"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76">
        <f t="shared" si="5"/>
        <v>0</v>
      </c>
      <c r="AE52" s="829">
        <f t="shared" si="0"/>
        <v>0</v>
      </c>
      <c r="AF52" s="830" t="str">
        <f>IFERROR(INDEX(Reit!$I:$I,MATCH(AE52,Reit!$F:$F,0)),"")</f>
        <v/>
      </c>
      <c r="AG52" s="652"/>
    </row>
    <row r="53" spans="1:33"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76">
        <f t="shared" si="5"/>
        <v>0</v>
      </c>
      <c r="AE53" s="829">
        <f t="shared" si="0"/>
        <v>0</v>
      </c>
      <c r="AF53" s="830" t="str">
        <f>IFERROR(INDEX(Reit!$I:$I,MATCH(AE53,Reit!$F:$F,0)),"")</f>
        <v/>
      </c>
      <c r="AG53" s="652"/>
    </row>
    <row r="54" spans="1:33"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76">
        <f t="shared" si="5"/>
        <v>0</v>
      </c>
      <c r="AE54" s="829">
        <f t="shared" si="0"/>
        <v>0</v>
      </c>
      <c r="AF54" s="830" t="str">
        <f>IFERROR(INDEX(Reit!$I:$I,MATCH(AE54,Reit!$F:$F,0)),"")</f>
        <v/>
      </c>
      <c r="AG54" s="652"/>
    </row>
    <row r="55" spans="1:33"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76">
        <f t="shared" si="5"/>
        <v>0</v>
      </c>
      <c r="AE55" s="829">
        <f t="shared" si="0"/>
        <v>0</v>
      </c>
      <c r="AF55" s="830" t="str">
        <f>IFERROR(INDEX(Reit!$I:$I,MATCH(AE55,Reit!$F:$F,0)),"")</f>
        <v/>
      </c>
      <c r="AG55" s="652"/>
    </row>
    <row r="56" spans="1:33"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76">
        <f t="shared" si="5"/>
        <v>0</v>
      </c>
      <c r="AE56" s="829">
        <f t="shared" si="0"/>
        <v>0</v>
      </c>
      <c r="AF56" s="830" t="str">
        <f>IFERROR(INDEX(Reit!$I:$I,MATCH(AE56,Reit!$F:$F,0)),"")</f>
        <v/>
      </c>
      <c r="AG56" s="652"/>
    </row>
    <row r="57" spans="1:33"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76">
        <f t="shared" si="5"/>
        <v>0</v>
      </c>
      <c r="AE57" s="829">
        <f t="shared" si="0"/>
        <v>0</v>
      </c>
      <c r="AF57" s="830" t="str">
        <f>IFERROR(INDEX(Reit!$I:$I,MATCH(AE57,Reit!$F:$F,0)),"")</f>
        <v/>
      </c>
      <c r="AG57" s="652"/>
    </row>
    <row r="58" spans="1:33"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76">
        <f t="shared" si="5"/>
        <v>0</v>
      </c>
      <c r="AE58" s="829">
        <f t="shared" si="0"/>
        <v>0</v>
      </c>
      <c r="AF58" s="830" t="str">
        <f>IFERROR(INDEX(Reit!$I:$I,MATCH(AE58,Reit!$F:$F,0)),"")</f>
        <v/>
      </c>
      <c r="AG58" s="652"/>
    </row>
    <row r="59" spans="1:33"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76">
        <f t="shared" si="5"/>
        <v>0</v>
      </c>
      <c r="AE59" s="829">
        <f t="shared" si="0"/>
        <v>0</v>
      </c>
      <c r="AF59" s="830" t="str">
        <f>IFERROR(INDEX(Reit!$I:$I,MATCH(AE59,Reit!$F:$F,0)),"")</f>
        <v/>
      </c>
      <c r="AG59" s="652"/>
    </row>
    <row r="60" spans="1:33"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76">
        <f t="shared" si="5"/>
        <v>0</v>
      </c>
      <c r="AE60" s="829">
        <f t="shared" si="0"/>
        <v>0</v>
      </c>
      <c r="AF60" s="830" t="str">
        <f>IFERROR(INDEX(Reit!$I:$I,MATCH(AE60,Reit!$F:$F,0)),"")</f>
        <v/>
      </c>
      <c r="AG60" s="652"/>
    </row>
    <row r="61" spans="1:33"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76">
        <f t="shared" si="5"/>
        <v>0</v>
      </c>
      <c r="AE61" s="829">
        <f t="shared" si="0"/>
        <v>0</v>
      </c>
      <c r="AF61" s="830" t="str">
        <f>IFERROR(INDEX(Reit!$I:$I,MATCH(AE61,Reit!$F:$F,0)),"")</f>
        <v/>
      </c>
      <c r="AG61" s="652"/>
    </row>
    <row r="62" spans="1:33"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76">
        <f t="shared" si="5"/>
        <v>0</v>
      </c>
      <c r="AE62" s="829">
        <f t="shared" si="0"/>
        <v>0</v>
      </c>
      <c r="AF62" s="830" t="str">
        <f>IFERROR(INDEX(Reit!$I:$I,MATCH(AE62,Reit!$F:$F,0)),"")</f>
        <v/>
      </c>
      <c r="AG62" s="652"/>
    </row>
    <row r="63" spans="1:33"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76">
        <f t="shared" si="5"/>
        <v>0</v>
      </c>
      <c r="AE63" s="829">
        <f t="shared" si="0"/>
        <v>0</v>
      </c>
      <c r="AF63" s="830" t="str">
        <f>IFERROR(INDEX(Reit!$I:$I,MATCH(AE63,Reit!$F:$F,0)),"")</f>
        <v/>
      </c>
      <c r="AG63" s="652"/>
    </row>
    <row r="64" spans="1:33"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76">
        <f t="shared" si="5"/>
        <v>0</v>
      </c>
      <c r="AE64" s="829">
        <f t="shared" si="0"/>
        <v>0</v>
      </c>
      <c r="AF64" s="830" t="str">
        <f>IFERROR(INDEX(Reit!$I:$I,MATCH(AE64,Reit!$F:$F,0)),"")</f>
        <v/>
      </c>
      <c r="AG64" s="652"/>
    </row>
    <row r="65" spans="1:33"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76">
        <f t="shared" si="5"/>
        <v>0</v>
      </c>
      <c r="AE65" s="829">
        <f t="shared" si="0"/>
        <v>0</v>
      </c>
      <c r="AF65" s="830" t="str">
        <f>IFERROR(INDEX(Reit!$I:$I,MATCH(AE65,Reit!$F:$F,0)),"")</f>
        <v/>
      </c>
      <c r="AG65" s="652"/>
    </row>
    <row r="66" spans="1:33"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76">
        <f t="shared" si="5"/>
        <v>0</v>
      </c>
      <c r="AE66" s="829">
        <f t="shared" si="0"/>
        <v>0</v>
      </c>
      <c r="AF66" s="830" t="str">
        <f>IFERROR(INDEX(Reit!$I:$I,MATCH(AE66,Reit!$F:$F,0)),"")</f>
        <v/>
      </c>
      <c r="AG66" s="652"/>
    </row>
    <row r="67" spans="1:33"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76">
        <f t="shared" si="5"/>
        <v>0</v>
      </c>
      <c r="AE67" s="829">
        <f t="shared" si="0"/>
        <v>0</v>
      </c>
      <c r="AF67" s="830" t="str">
        <f>IFERROR(INDEX(Reit!$I:$I,MATCH(AE67,Reit!$F:$F,0)),"")</f>
        <v/>
      </c>
      <c r="AG67" s="652"/>
    </row>
    <row r="68" spans="1:33"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76">
        <f t="shared" si="5"/>
        <v>0</v>
      </c>
      <c r="AE68" s="829">
        <f t="shared" si="0"/>
        <v>0</v>
      </c>
      <c r="AF68" s="830" t="str">
        <f>IFERROR(INDEX(Reit!$I:$I,MATCH(AE68,Reit!$F:$F,0)),"")</f>
        <v/>
      </c>
      <c r="AG68" s="652"/>
    </row>
    <row r="69" spans="1:33"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76">
        <f t="shared" si="5"/>
        <v>0</v>
      </c>
      <c r="AE69" s="829">
        <f t="shared" si="0"/>
        <v>0</v>
      </c>
      <c r="AF69" s="830" t="str">
        <f>IFERROR(INDEX(Reit!$I:$I,MATCH(AE69,Reit!$F:$F,0)),"")</f>
        <v/>
      </c>
      <c r="AG69" s="652"/>
    </row>
    <row r="70" spans="1:33"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76">
        <f t="shared" si="5"/>
        <v>0</v>
      </c>
      <c r="AE70" s="829">
        <f t="shared" si="0"/>
        <v>0</v>
      </c>
      <c r="AF70" s="830" t="str">
        <f>IFERROR(INDEX(Reit!$I:$I,MATCH(AE70,Reit!$F:$F,0)),"")</f>
        <v/>
      </c>
      <c r="AG70" s="652"/>
    </row>
    <row r="71" spans="1:33"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76">
        <f t="shared" si="5"/>
        <v>0</v>
      </c>
      <c r="AE71" s="829">
        <f t="shared" si="0"/>
        <v>0</v>
      </c>
      <c r="AF71" s="830" t="str">
        <f>IFERROR(INDEX(Reit!$I:$I,MATCH(AE71,Reit!$F:$F,0)),"")</f>
        <v/>
      </c>
      <c r="AG71" s="652"/>
    </row>
    <row r="72" spans="1:33"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76">
        <f t="shared" si="5"/>
        <v>0</v>
      </c>
      <c r="AE72" s="829">
        <f t="shared" ref="AE72:AE135" si="6">$B72</f>
        <v>0</v>
      </c>
      <c r="AF72" s="830" t="str">
        <f>IFERROR(INDEX(Reit!$I:$I,MATCH(AE72,Reit!$F:$F,0)),"")</f>
        <v/>
      </c>
      <c r="AG72" s="652"/>
    </row>
    <row r="73" spans="1:33"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76">
        <f t="shared" si="5"/>
        <v>0</v>
      </c>
      <c r="AE73" s="829">
        <f t="shared" si="6"/>
        <v>0</v>
      </c>
      <c r="AF73" s="830" t="str">
        <f>IFERROR(INDEX(Reit!$I:$I,MATCH(AE73,Reit!$F:$F,0)),"")</f>
        <v/>
      </c>
      <c r="AG73" s="652"/>
    </row>
    <row r="74" spans="1:33"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76">
        <f t="shared" si="5"/>
        <v>0</v>
      </c>
      <c r="AE74" s="829">
        <f t="shared" si="6"/>
        <v>0</v>
      </c>
      <c r="AF74" s="830" t="str">
        <f>IFERROR(INDEX(Reit!$I:$I,MATCH(AE74,Reit!$F:$F,0)),"")</f>
        <v/>
      </c>
      <c r="AG74" s="652"/>
    </row>
    <row r="75" spans="1:33"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76">
        <f t="shared" si="5"/>
        <v>0</v>
      </c>
      <c r="AE75" s="829">
        <f t="shared" si="6"/>
        <v>0</v>
      </c>
      <c r="AF75" s="830" t="str">
        <f>IFERROR(INDEX(Reit!$I:$I,MATCH(AE75,Reit!$F:$F,0)),"")</f>
        <v/>
      </c>
      <c r="AG75" s="652"/>
    </row>
    <row r="76" spans="1:33"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76">
        <f t="shared" ref="AD76:AD139" si="7">SUM(AF76:AF76)</f>
        <v>0</v>
      </c>
      <c r="AE76" s="829">
        <f t="shared" si="6"/>
        <v>0</v>
      </c>
      <c r="AF76" s="830" t="str">
        <f>IFERROR(INDEX(Reit!$I:$I,MATCH(AE76,Reit!$F:$F,0)),"")</f>
        <v/>
      </c>
      <c r="AG76" s="652"/>
    </row>
    <row r="77" spans="1:33"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76">
        <f t="shared" si="7"/>
        <v>0</v>
      </c>
      <c r="AE77" s="829">
        <f t="shared" si="6"/>
        <v>0</v>
      </c>
      <c r="AF77" s="830" t="str">
        <f>IFERROR(INDEX(Reit!$I:$I,MATCH(AE77,Reit!$F:$F,0)),"")</f>
        <v/>
      </c>
      <c r="AG77" s="652"/>
    </row>
    <row r="78" spans="1:33"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76">
        <f t="shared" si="7"/>
        <v>0</v>
      </c>
      <c r="AE78" s="829">
        <f t="shared" si="6"/>
        <v>0</v>
      </c>
      <c r="AF78" s="830" t="str">
        <f>IFERROR(INDEX(Reit!$I:$I,MATCH(AE78,Reit!$F:$F,0)),"")</f>
        <v/>
      </c>
      <c r="AG78" s="652"/>
    </row>
    <row r="79" spans="1:33"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76">
        <f t="shared" si="7"/>
        <v>0</v>
      </c>
      <c r="AE79" s="829">
        <f t="shared" si="6"/>
        <v>0</v>
      </c>
      <c r="AF79" s="830" t="str">
        <f>IFERROR(INDEX(Reit!$I:$I,MATCH(AE79,Reit!$F:$F,0)),"")</f>
        <v/>
      </c>
      <c r="AG79" s="652"/>
    </row>
    <row r="80" spans="1:33"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76">
        <f t="shared" si="7"/>
        <v>0</v>
      </c>
      <c r="AE80" s="829">
        <f t="shared" si="6"/>
        <v>0</v>
      </c>
      <c r="AF80" s="830" t="str">
        <f>IFERROR(INDEX(Reit!$I:$I,MATCH(AE80,Reit!$F:$F,0)),"")</f>
        <v/>
      </c>
      <c r="AG80" s="652"/>
    </row>
    <row r="81" spans="1:33"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76">
        <f t="shared" si="7"/>
        <v>0</v>
      </c>
      <c r="AE81" s="829">
        <f t="shared" si="6"/>
        <v>0</v>
      </c>
      <c r="AF81" s="830" t="str">
        <f>IFERROR(INDEX(Reit!$I:$I,MATCH(AE81,Reit!$F:$F,0)),"")</f>
        <v/>
      </c>
      <c r="AG81" s="652"/>
    </row>
    <row r="82" spans="1:33"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76">
        <f t="shared" si="7"/>
        <v>0</v>
      </c>
      <c r="AE82" s="829">
        <f t="shared" si="6"/>
        <v>0</v>
      </c>
      <c r="AF82" s="830" t="str">
        <f>IFERROR(INDEX(Reit!$I:$I,MATCH(AE82,Reit!$F:$F,0)),"")</f>
        <v/>
      </c>
      <c r="AG82" s="652"/>
    </row>
    <row r="83" spans="1:33"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76">
        <f t="shared" si="7"/>
        <v>0</v>
      </c>
      <c r="AE83" s="829">
        <f t="shared" si="6"/>
        <v>0</v>
      </c>
      <c r="AF83" s="830" t="str">
        <f>IFERROR(INDEX(Reit!$I:$I,MATCH(AE83,Reit!$F:$F,0)),"")</f>
        <v/>
      </c>
      <c r="AG83" s="652"/>
    </row>
    <row r="84" spans="1:33"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76">
        <f t="shared" si="7"/>
        <v>0</v>
      </c>
      <c r="AE84" s="829">
        <f t="shared" si="6"/>
        <v>0</v>
      </c>
      <c r="AF84" s="830" t="str">
        <f>IFERROR(INDEX(Reit!$I:$I,MATCH(AE84,Reit!$F:$F,0)),"")</f>
        <v/>
      </c>
      <c r="AG84" s="652"/>
    </row>
    <row r="85" spans="1:33"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76">
        <f t="shared" si="7"/>
        <v>0</v>
      </c>
      <c r="AE85" s="829">
        <f t="shared" si="6"/>
        <v>0</v>
      </c>
      <c r="AF85" s="830" t="str">
        <f>IFERROR(INDEX(Reit!$I:$I,MATCH(AE85,Reit!$F:$F,0)),"")</f>
        <v/>
      </c>
      <c r="AG85" s="652"/>
    </row>
    <row r="86" spans="1:33"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76">
        <f t="shared" si="7"/>
        <v>0</v>
      </c>
      <c r="AE86" s="829">
        <f t="shared" si="6"/>
        <v>0</v>
      </c>
      <c r="AF86" s="830" t="str">
        <f>IFERROR(INDEX(Reit!$I:$I,MATCH(AE86,Reit!$F:$F,0)),"")</f>
        <v/>
      </c>
      <c r="AG86" s="652"/>
    </row>
    <row r="87" spans="1:33"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76">
        <f t="shared" si="7"/>
        <v>0</v>
      </c>
      <c r="AE87" s="829">
        <f t="shared" si="6"/>
        <v>0</v>
      </c>
      <c r="AF87" s="830" t="str">
        <f>IFERROR(INDEX(Reit!$I:$I,MATCH(AE87,Reit!$F:$F,0)),"")</f>
        <v/>
      </c>
      <c r="AG87" s="652"/>
    </row>
    <row r="88" spans="1:33"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76">
        <f t="shared" si="7"/>
        <v>0</v>
      </c>
      <c r="AE88" s="829">
        <f t="shared" si="6"/>
        <v>0</v>
      </c>
      <c r="AF88" s="830" t="str">
        <f>IFERROR(INDEX(Reit!$I:$I,MATCH(AE88,Reit!$F:$F,0)),"")</f>
        <v/>
      </c>
      <c r="AG88" s="652"/>
    </row>
    <row r="89" spans="1:33"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76">
        <f t="shared" si="7"/>
        <v>0</v>
      </c>
      <c r="AE89" s="829">
        <f t="shared" si="6"/>
        <v>0</v>
      </c>
      <c r="AF89" s="830" t="str">
        <f>IFERROR(INDEX(Reit!$I:$I,MATCH(AE89,Reit!$F:$F,0)),"")</f>
        <v/>
      </c>
      <c r="AG89" s="652"/>
    </row>
    <row r="90" spans="1:33"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76">
        <f t="shared" si="7"/>
        <v>0</v>
      </c>
      <c r="AE90" s="829">
        <f t="shared" si="6"/>
        <v>0</v>
      </c>
      <c r="AF90" s="830" t="str">
        <f>IFERROR(INDEX(Reit!$I:$I,MATCH(AE90,Reit!$F:$F,0)),"")</f>
        <v/>
      </c>
      <c r="AG90" s="652"/>
    </row>
    <row r="91" spans="1:33"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76">
        <f t="shared" si="7"/>
        <v>0</v>
      </c>
      <c r="AE91" s="829">
        <f t="shared" si="6"/>
        <v>0</v>
      </c>
      <c r="AF91" s="830" t="str">
        <f>IFERROR(INDEX(Reit!$I:$I,MATCH(AE91,Reit!$F:$F,0)),"")</f>
        <v/>
      </c>
      <c r="AG91" s="652"/>
    </row>
    <row r="92" spans="1:33"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76">
        <f t="shared" si="7"/>
        <v>0</v>
      </c>
      <c r="AE92" s="829">
        <f t="shared" si="6"/>
        <v>0</v>
      </c>
      <c r="AF92" s="830" t="str">
        <f>IFERROR(INDEX(Reit!$I:$I,MATCH(AE92,Reit!$F:$F,0)),"")</f>
        <v/>
      </c>
      <c r="AG92" s="652"/>
    </row>
    <row r="93" spans="1:33"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76">
        <f t="shared" si="7"/>
        <v>0</v>
      </c>
      <c r="AE93" s="829">
        <f t="shared" si="6"/>
        <v>0</v>
      </c>
      <c r="AF93" s="830" t="str">
        <f>IFERROR(INDEX(Reit!$I:$I,MATCH(AE93,Reit!$F:$F,0)),"")</f>
        <v/>
      </c>
      <c r="AG93" s="652"/>
    </row>
    <row r="94" spans="1:33"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76">
        <f t="shared" si="7"/>
        <v>0</v>
      </c>
      <c r="AE94" s="829">
        <f t="shared" si="6"/>
        <v>0</v>
      </c>
      <c r="AF94" s="830" t="str">
        <f>IFERROR(INDEX(Reit!$I:$I,MATCH(AE94,Reit!$F:$F,0)),"")</f>
        <v/>
      </c>
      <c r="AG94" s="652"/>
    </row>
    <row r="95" spans="1:33"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76">
        <f t="shared" si="7"/>
        <v>0</v>
      </c>
      <c r="AE95" s="829">
        <f t="shared" si="6"/>
        <v>0</v>
      </c>
      <c r="AF95" s="830" t="str">
        <f>IFERROR(INDEX(Reit!$I:$I,MATCH(AE95,Reit!$F:$F,0)),"")</f>
        <v/>
      </c>
      <c r="AG95" s="652"/>
    </row>
    <row r="96" spans="1:33"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76">
        <f t="shared" si="7"/>
        <v>0</v>
      </c>
      <c r="AE96" s="829">
        <f t="shared" si="6"/>
        <v>0</v>
      </c>
      <c r="AF96" s="830" t="str">
        <f>IFERROR(INDEX(Reit!$I:$I,MATCH(AE96,Reit!$F:$F,0)),"")</f>
        <v/>
      </c>
      <c r="AG96" s="652"/>
    </row>
    <row r="97" spans="1:33"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76">
        <f t="shared" si="7"/>
        <v>0</v>
      </c>
      <c r="AE97" s="829">
        <f t="shared" si="6"/>
        <v>0</v>
      </c>
      <c r="AF97" s="830" t="str">
        <f>IFERROR(INDEX(Reit!$I:$I,MATCH(AE97,Reit!$F:$F,0)),"")</f>
        <v/>
      </c>
      <c r="AG97" s="652"/>
    </row>
    <row r="98" spans="1:33"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76">
        <f t="shared" si="7"/>
        <v>0</v>
      </c>
      <c r="AE98" s="829">
        <f t="shared" si="6"/>
        <v>0</v>
      </c>
      <c r="AF98" s="830" t="str">
        <f>IFERROR(INDEX(Reit!$I:$I,MATCH(AE98,Reit!$F:$F,0)),"")</f>
        <v/>
      </c>
      <c r="AG98" s="652"/>
    </row>
    <row r="99" spans="1:33"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76">
        <f t="shared" si="7"/>
        <v>0</v>
      </c>
      <c r="AE99" s="829">
        <f t="shared" si="6"/>
        <v>0</v>
      </c>
      <c r="AF99" s="830" t="str">
        <f>IFERROR(INDEX(Reit!$I:$I,MATCH(AE99,Reit!$F:$F,0)),"")</f>
        <v/>
      </c>
      <c r="AG99" s="652"/>
    </row>
    <row r="100" spans="1:33"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76">
        <f t="shared" si="7"/>
        <v>0</v>
      </c>
      <c r="AE100" s="829">
        <f t="shared" si="6"/>
        <v>0</v>
      </c>
      <c r="AF100" s="830" t="str">
        <f>IFERROR(INDEX(Reit!$I:$I,MATCH(AE100,Reit!$F:$F,0)),"")</f>
        <v/>
      </c>
      <c r="AG100" s="652"/>
    </row>
    <row r="101" spans="1:33"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76">
        <f t="shared" si="7"/>
        <v>0</v>
      </c>
      <c r="AE101" s="829">
        <f t="shared" si="6"/>
        <v>0</v>
      </c>
      <c r="AF101" s="830" t="str">
        <f>IFERROR(INDEX(Reit!$I:$I,MATCH(AE101,Reit!$F:$F,0)),"")</f>
        <v/>
      </c>
      <c r="AG101" s="652"/>
    </row>
    <row r="102" spans="1:33"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76">
        <f t="shared" si="7"/>
        <v>0</v>
      </c>
      <c r="AE102" s="829">
        <f t="shared" si="6"/>
        <v>0</v>
      </c>
      <c r="AF102" s="830" t="str">
        <f>IFERROR(INDEX(Reit!$I:$I,MATCH(AE102,Reit!$F:$F,0)),"")</f>
        <v/>
      </c>
      <c r="AG102" s="652"/>
    </row>
    <row r="103" spans="1:33"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76">
        <f t="shared" si="7"/>
        <v>0</v>
      </c>
      <c r="AE103" s="829">
        <f t="shared" si="6"/>
        <v>0</v>
      </c>
      <c r="AF103" s="830" t="str">
        <f>IFERROR(INDEX(Reit!$I:$I,MATCH(AE103,Reit!$F:$F,0)),"")</f>
        <v/>
      </c>
      <c r="AG103" s="652"/>
    </row>
    <row r="104" spans="1:33"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76">
        <f t="shared" si="7"/>
        <v>0</v>
      </c>
      <c r="AE104" s="829">
        <f t="shared" si="6"/>
        <v>0</v>
      </c>
      <c r="AF104" s="830" t="str">
        <f>IFERROR(INDEX(Reit!$I:$I,MATCH(AE104,Reit!$F:$F,0)),"")</f>
        <v/>
      </c>
      <c r="AG104" s="652"/>
    </row>
    <row r="105" spans="1:33"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76">
        <f t="shared" si="7"/>
        <v>0</v>
      </c>
      <c r="AE105" s="829">
        <f t="shared" si="6"/>
        <v>0</v>
      </c>
      <c r="AF105" s="830" t="str">
        <f>IFERROR(INDEX(Reit!$I:$I,MATCH(AE105,Reit!$F:$F,0)),"")</f>
        <v/>
      </c>
      <c r="AG105" s="652"/>
    </row>
    <row r="106" spans="1:33"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76">
        <f t="shared" si="7"/>
        <v>0</v>
      </c>
      <c r="AE106" s="829">
        <f t="shared" si="6"/>
        <v>0</v>
      </c>
      <c r="AF106" s="830" t="str">
        <f>IFERROR(INDEX(Reit!$I:$I,MATCH(AE106,Reit!$F:$F,0)),"")</f>
        <v/>
      </c>
      <c r="AG106" s="652"/>
    </row>
    <row r="107" spans="1:33"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76">
        <f t="shared" si="7"/>
        <v>0</v>
      </c>
      <c r="AE107" s="829">
        <f t="shared" si="6"/>
        <v>0</v>
      </c>
      <c r="AF107" s="830" t="str">
        <f>IFERROR(INDEX(Reit!$I:$I,MATCH(AE107,Reit!$F:$F,0)),"")</f>
        <v/>
      </c>
      <c r="AG107" s="652"/>
    </row>
    <row r="108" spans="1:33"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76">
        <f t="shared" si="7"/>
        <v>0</v>
      </c>
      <c r="AE108" s="829">
        <f t="shared" si="6"/>
        <v>0</v>
      </c>
      <c r="AF108" s="830" t="str">
        <f>IFERROR(INDEX(Reit!$I:$I,MATCH(AE108,Reit!$F:$F,0)),"")</f>
        <v/>
      </c>
      <c r="AG108" s="652"/>
    </row>
    <row r="109" spans="1:33"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76">
        <f t="shared" si="7"/>
        <v>0</v>
      </c>
      <c r="AE109" s="829">
        <f t="shared" si="6"/>
        <v>0</v>
      </c>
      <c r="AF109" s="830" t="str">
        <f>IFERROR(INDEX(Reit!$I:$I,MATCH(AE109,Reit!$F:$F,0)),"")</f>
        <v/>
      </c>
      <c r="AG109" s="652"/>
    </row>
    <row r="110" spans="1:33"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76">
        <f t="shared" si="7"/>
        <v>0</v>
      </c>
      <c r="AE110" s="829">
        <f t="shared" si="6"/>
        <v>0</v>
      </c>
      <c r="AF110" s="830" t="str">
        <f>IFERROR(INDEX(Reit!$I:$I,MATCH(AE110,Reit!$F:$F,0)),"")</f>
        <v/>
      </c>
      <c r="AG110" s="652"/>
    </row>
    <row r="111" spans="1:33"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76">
        <f t="shared" si="7"/>
        <v>0</v>
      </c>
      <c r="AE111" s="829">
        <f t="shared" si="6"/>
        <v>0</v>
      </c>
      <c r="AF111" s="830" t="str">
        <f>IFERROR(INDEX(Reit!$I:$I,MATCH(AE111,Reit!$F:$F,0)),"")</f>
        <v/>
      </c>
      <c r="AG111" s="652"/>
    </row>
    <row r="112" spans="1:33"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76">
        <f t="shared" si="7"/>
        <v>0</v>
      </c>
      <c r="AE112" s="829">
        <f t="shared" si="6"/>
        <v>0</v>
      </c>
      <c r="AF112" s="830" t="str">
        <f>IFERROR(INDEX(Reit!$I:$I,MATCH(AE112,Reit!$F:$F,0)),"")</f>
        <v/>
      </c>
      <c r="AG112" s="652"/>
    </row>
    <row r="113" spans="1:33"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76">
        <f t="shared" si="7"/>
        <v>0</v>
      </c>
      <c r="AE113" s="829">
        <f t="shared" si="6"/>
        <v>0</v>
      </c>
      <c r="AF113" s="830" t="str">
        <f>IFERROR(INDEX(Reit!$I:$I,MATCH(AE113,Reit!$F:$F,0)),"")</f>
        <v/>
      </c>
      <c r="AG113" s="652"/>
    </row>
    <row r="114" spans="1:33"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76">
        <f t="shared" si="7"/>
        <v>0</v>
      </c>
      <c r="AE114" s="829">
        <f t="shared" si="6"/>
        <v>0</v>
      </c>
      <c r="AF114" s="830" t="str">
        <f>IFERROR(INDEX(Reit!$I:$I,MATCH(AE114,Reit!$F:$F,0)),"")</f>
        <v/>
      </c>
      <c r="AG114" s="652"/>
    </row>
    <row r="115" spans="1:33"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76">
        <f t="shared" si="7"/>
        <v>0</v>
      </c>
      <c r="AE115" s="829">
        <f t="shared" si="6"/>
        <v>0</v>
      </c>
      <c r="AF115" s="830" t="str">
        <f>IFERROR(INDEX(Reit!$I:$I,MATCH(AE115,Reit!$F:$F,0)),"")</f>
        <v/>
      </c>
      <c r="AG115" s="652"/>
    </row>
    <row r="116" spans="1:33"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76">
        <f t="shared" si="7"/>
        <v>0</v>
      </c>
      <c r="AE116" s="829">
        <f t="shared" si="6"/>
        <v>0</v>
      </c>
      <c r="AF116" s="830" t="str">
        <f>IFERROR(INDEX(Reit!$I:$I,MATCH(AE116,Reit!$F:$F,0)),"")</f>
        <v/>
      </c>
      <c r="AG116" s="652"/>
    </row>
    <row r="117" spans="1:33"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76">
        <f t="shared" si="7"/>
        <v>0</v>
      </c>
      <c r="AE117" s="829">
        <f t="shared" si="6"/>
        <v>0</v>
      </c>
      <c r="AF117" s="830" t="str">
        <f>IFERROR(INDEX(Reit!$I:$I,MATCH(AE117,Reit!$F:$F,0)),"")</f>
        <v/>
      </c>
      <c r="AG117" s="652"/>
    </row>
    <row r="118" spans="1:33"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76">
        <f t="shared" si="7"/>
        <v>0</v>
      </c>
      <c r="AE118" s="829">
        <f t="shared" si="6"/>
        <v>0</v>
      </c>
      <c r="AF118" s="830" t="str">
        <f>IFERROR(INDEX(Reit!$I:$I,MATCH(AE118,Reit!$F:$F,0)),"")</f>
        <v/>
      </c>
      <c r="AG118" s="652"/>
    </row>
    <row r="119" spans="1:33"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76">
        <f t="shared" si="7"/>
        <v>0</v>
      </c>
      <c r="AE119" s="829">
        <f t="shared" si="6"/>
        <v>0</v>
      </c>
      <c r="AF119" s="830" t="str">
        <f>IFERROR(INDEX(Reit!$I:$I,MATCH(AE119,Reit!$F:$F,0)),"")</f>
        <v/>
      </c>
      <c r="AG119" s="652"/>
    </row>
    <row r="120" spans="1:33"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76">
        <f t="shared" si="7"/>
        <v>0</v>
      </c>
      <c r="AE120" s="829">
        <f t="shared" si="6"/>
        <v>0</v>
      </c>
      <c r="AF120" s="830" t="str">
        <f>IFERROR(INDEX(Reit!$I:$I,MATCH(AE120,Reit!$F:$F,0)),"")</f>
        <v/>
      </c>
      <c r="AG120" s="652"/>
    </row>
    <row r="121" spans="1:33"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76">
        <f t="shared" si="7"/>
        <v>0</v>
      </c>
      <c r="AE121" s="829">
        <f t="shared" si="6"/>
        <v>0</v>
      </c>
      <c r="AF121" s="830" t="str">
        <f>IFERROR(INDEX(Reit!$I:$I,MATCH(AE121,Reit!$F:$F,0)),"")</f>
        <v/>
      </c>
      <c r="AG121" s="652"/>
    </row>
    <row r="122" spans="1:33"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76">
        <f t="shared" si="7"/>
        <v>0</v>
      </c>
      <c r="AE122" s="829">
        <f t="shared" si="6"/>
        <v>0</v>
      </c>
      <c r="AF122" s="830" t="str">
        <f>IFERROR(INDEX(Reit!$I:$I,MATCH(AE122,Reit!$F:$F,0)),"")</f>
        <v/>
      </c>
      <c r="AG122" s="652"/>
    </row>
    <row r="123" spans="1:33"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76">
        <f t="shared" si="7"/>
        <v>0</v>
      </c>
      <c r="AE123" s="829">
        <f t="shared" si="6"/>
        <v>0</v>
      </c>
      <c r="AF123" s="830" t="str">
        <f>IFERROR(INDEX(Reit!$I:$I,MATCH(AE123,Reit!$F:$F,0)),"")</f>
        <v/>
      </c>
      <c r="AG123" s="652"/>
    </row>
    <row r="124" spans="1:33"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76">
        <f t="shared" si="7"/>
        <v>0</v>
      </c>
      <c r="AE124" s="829">
        <f t="shared" si="6"/>
        <v>0</v>
      </c>
      <c r="AF124" s="830" t="str">
        <f>IFERROR(INDEX(Reit!$I:$I,MATCH(AE124,Reit!$F:$F,0)),"")</f>
        <v/>
      </c>
      <c r="AG124" s="652"/>
    </row>
    <row r="125" spans="1:33"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76">
        <f t="shared" si="7"/>
        <v>0</v>
      </c>
      <c r="AE125" s="829">
        <f t="shared" si="6"/>
        <v>0</v>
      </c>
      <c r="AF125" s="830" t="str">
        <f>IFERROR(INDEX(Reit!$I:$I,MATCH(AE125,Reit!$F:$F,0)),"")</f>
        <v/>
      </c>
      <c r="AG125" s="652"/>
    </row>
    <row r="126" spans="1:33"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76">
        <f t="shared" si="7"/>
        <v>0</v>
      </c>
      <c r="AE126" s="829">
        <f t="shared" si="6"/>
        <v>0</v>
      </c>
      <c r="AF126" s="830" t="str">
        <f>IFERROR(INDEX(Reit!$I:$I,MATCH(AE126,Reit!$F:$F,0)),"")</f>
        <v/>
      </c>
      <c r="AG126" s="652"/>
    </row>
    <row r="127" spans="1:33"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76">
        <f t="shared" si="7"/>
        <v>0</v>
      </c>
      <c r="AE127" s="829">
        <f t="shared" si="6"/>
        <v>0</v>
      </c>
      <c r="AF127" s="830" t="str">
        <f>IFERROR(INDEX(Reit!$I:$I,MATCH(AE127,Reit!$F:$F,0)),"")</f>
        <v/>
      </c>
      <c r="AG127" s="652"/>
    </row>
    <row r="128" spans="1:33"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76">
        <f t="shared" si="7"/>
        <v>0</v>
      </c>
      <c r="AE128" s="829">
        <f t="shared" si="6"/>
        <v>0</v>
      </c>
      <c r="AF128" s="830" t="str">
        <f>IFERROR(INDEX(Reit!$I:$I,MATCH(AE128,Reit!$F:$F,0)),"")</f>
        <v/>
      </c>
      <c r="AG128" s="652"/>
    </row>
    <row r="129" spans="1:33"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76">
        <f t="shared" si="7"/>
        <v>0</v>
      </c>
      <c r="AE129" s="829">
        <f t="shared" si="6"/>
        <v>0</v>
      </c>
      <c r="AF129" s="830" t="str">
        <f>IFERROR(INDEX(Reit!$I:$I,MATCH(AE129,Reit!$F:$F,0)),"")</f>
        <v/>
      </c>
      <c r="AG129" s="652"/>
    </row>
    <row r="130" spans="1:33"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76">
        <f t="shared" si="7"/>
        <v>0</v>
      </c>
      <c r="AE130" s="829">
        <f t="shared" si="6"/>
        <v>0</v>
      </c>
      <c r="AF130" s="830" t="str">
        <f>IFERROR(INDEX(Reit!$I:$I,MATCH(AE130,Reit!$F:$F,0)),"")</f>
        <v/>
      </c>
      <c r="AG130" s="652"/>
    </row>
    <row r="131" spans="1:33"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76">
        <f t="shared" si="7"/>
        <v>0</v>
      </c>
      <c r="AE131" s="829">
        <f t="shared" si="6"/>
        <v>0</v>
      </c>
      <c r="AF131" s="830" t="str">
        <f>IFERROR(INDEX(Reit!$I:$I,MATCH(AE131,Reit!$F:$F,0)),"")</f>
        <v/>
      </c>
      <c r="AG131" s="652"/>
    </row>
    <row r="132" spans="1:33"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76">
        <f t="shared" si="7"/>
        <v>0</v>
      </c>
      <c r="AE132" s="829">
        <f t="shared" si="6"/>
        <v>0</v>
      </c>
      <c r="AF132" s="830" t="str">
        <f>IFERROR(INDEX(Reit!$I:$I,MATCH(AE132,Reit!$F:$F,0)),"")</f>
        <v/>
      </c>
      <c r="AG132" s="652"/>
    </row>
    <row r="133" spans="1:33"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76">
        <f t="shared" si="7"/>
        <v>0</v>
      </c>
      <c r="AE133" s="829">
        <f t="shared" si="6"/>
        <v>0</v>
      </c>
      <c r="AF133" s="830" t="str">
        <f>IFERROR(INDEX(Reit!$I:$I,MATCH(AE133,Reit!$F:$F,0)),"")</f>
        <v/>
      </c>
      <c r="AG133" s="652"/>
    </row>
    <row r="134" spans="1:33" hidden="1" x14ac:dyDescent="0.2">
      <c r="A134" s="652"/>
      <c r="B134" s="652"/>
      <c r="C134" s="652"/>
      <c r="D134" s="652"/>
      <c r="E134" s="652"/>
      <c r="F134" s="652"/>
      <c r="G134" s="652"/>
      <c r="H134" s="652"/>
      <c r="I134" s="652"/>
      <c r="J134" s="652"/>
      <c r="K134" s="652"/>
      <c r="L134" s="652"/>
      <c r="M134" s="652"/>
      <c r="N134" s="652"/>
      <c r="O134" s="652"/>
      <c r="P134" s="652"/>
      <c r="Q134" s="652"/>
      <c r="R134" s="652"/>
      <c r="S134" s="652"/>
      <c r="T134" s="652"/>
      <c r="U134" s="652"/>
      <c r="V134" s="652"/>
      <c r="W134" s="652"/>
      <c r="X134" s="652"/>
      <c r="Y134" s="652"/>
      <c r="Z134" s="652"/>
      <c r="AA134" s="652"/>
      <c r="AB134" s="652"/>
      <c r="AC134" s="652"/>
      <c r="AD134" s="676">
        <f t="shared" si="7"/>
        <v>0</v>
      </c>
      <c r="AE134" s="829">
        <f t="shared" si="6"/>
        <v>0</v>
      </c>
      <c r="AF134" s="830" t="str">
        <f>IFERROR(INDEX(Reit!$I:$I,MATCH(AE134,Reit!$F:$F,0)),"")</f>
        <v/>
      </c>
      <c r="AG134" s="652"/>
    </row>
    <row r="135" spans="1:33" hidden="1" x14ac:dyDescent="0.2">
      <c r="A135" s="652"/>
      <c r="B135" s="652"/>
      <c r="C135" s="652"/>
      <c r="D135" s="652"/>
      <c r="E135" s="652"/>
      <c r="F135" s="652"/>
      <c r="G135" s="652"/>
      <c r="H135" s="652"/>
      <c r="I135" s="652"/>
      <c r="J135" s="652"/>
      <c r="K135" s="652"/>
      <c r="L135" s="652"/>
      <c r="M135" s="652"/>
      <c r="N135" s="652"/>
      <c r="O135" s="652"/>
      <c r="P135" s="652"/>
      <c r="Q135" s="652"/>
      <c r="R135" s="652"/>
      <c r="S135" s="652"/>
      <c r="T135" s="652"/>
      <c r="U135" s="652"/>
      <c r="V135" s="652"/>
      <c r="W135" s="652"/>
      <c r="X135" s="652"/>
      <c r="Y135" s="652"/>
      <c r="Z135" s="652"/>
      <c r="AA135" s="652"/>
      <c r="AB135" s="652"/>
      <c r="AC135" s="652"/>
      <c r="AD135" s="676">
        <f t="shared" si="7"/>
        <v>0</v>
      </c>
      <c r="AE135" s="829">
        <f t="shared" si="6"/>
        <v>0</v>
      </c>
      <c r="AF135" s="830" t="str">
        <f>IFERROR(INDEX(Reit!$I:$I,MATCH(AE135,Reit!$F:$F,0)),"")</f>
        <v/>
      </c>
      <c r="AG135" s="652"/>
    </row>
    <row r="136" spans="1:33" hidden="1" x14ac:dyDescent="0.2">
      <c r="A136" s="652"/>
      <c r="B136" s="652"/>
      <c r="C136" s="652"/>
      <c r="D136" s="652"/>
      <c r="E136" s="652"/>
      <c r="F136" s="652"/>
      <c r="G136" s="652"/>
      <c r="H136" s="652"/>
      <c r="I136" s="652"/>
      <c r="J136" s="652"/>
      <c r="K136" s="652"/>
      <c r="L136" s="652"/>
      <c r="M136" s="652"/>
      <c r="N136" s="652"/>
      <c r="O136" s="652"/>
      <c r="P136" s="652"/>
      <c r="Q136" s="652"/>
      <c r="R136" s="652"/>
      <c r="S136" s="652"/>
      <c r="T136" s="652"/>
      <c r="U136" s="652"/>
      <c r="V136" s="652"/>
      <c r="W136" s="652"/>
      <c r="X136" s="652"/>
      <c r="Y136" s="652"/>
      <c r="Z136" s="652"/>
      <c r="AA136" s="652"/>
      <c r="AB136" s="652"/>
      <c r="AC136" s="652"/>
      <c r="AD136" s="676">
        <f t="shared" si="7"/>
        <v>0</v>
      </c>
      <c r="AE136" s="829">
        <f t="shared" ref="AE136:AE199" si="8">$B136</f>
        <v>0</v>
      </c>
      <c r="AF136" s="830" t="str">
        <f>IFERROR(INDEX(Reit!$I:$I,MATCH(AE136,Reit!$F:$F,0)),"")</f>
        <v/>
      </c>
      <c r="AG136" s="652"/>
    </row>
    <row r="137" spans="1:33" hidden="1" x14ac:dyDescent="0.2">
      <c r="A137" s="652"/>
      <c r="B137" s="652"/>
      <c r="C137" s="652"/>
      <c r="D137" s="652"/>
      <c r="E137" s="652"/>
      <c r="F137" s="652"/>
      <c r="G137" s="652"/>
      <c r="H137" s="652"/>
      <c r="I137" s="652"/>
      <c r="J137" s="652"/>
      <c r="K137" s="652"/>
      <c r="L137" s="652"/>
      <c r="M137" s="652"/>
      <c r="N137" s="652"/>
      <c r="O137" s="652"/>
      <c r="P137" s="652"/>
      <c r="Q137" s="652"/>
      <c r="R137" s="652"/>
      <c r="S137" s="652"/>
      <c r="T137" s="652"/>
      <c r="U137" s="652"/>
      <c r="V137" s="652"/>
      <c r="W137" s="652"/>
      <c r="X137" s="652"/>
      <c r="Y137" s="652"/>
      <c r="Z137" s="652"/>
      <c r="AA137" s="652"/>
      <c r="AB137" s="652"/>
      <c r="AC137" s="652"/>
      <c r="AD137" s="676">
        <f t="shared" si="7"/>
        <v>0</v>
      </c>
      <c r="AE137" s="829">
        <f t="shared" si="8"/>
        <v>0</v>
      </c>
      <c r="AF137" s="830" t="str">
        <f>IFERROR(INDEX(Reit!$I:$I,MATCH(AE137,Reit!$F:$F,0)),"")</f>
        <v/>
      </c>
      <c r="AG137" s="652"/>
    </row>
    <row r="138" spans="1:33" hidden="1" x14ac:dyDescent="0.2">
      <c r="A138" s="652"/>
      <c r="B138" s="652"/>
      <c r="C138" s="652"/>
      <c r="D138" s="652"/>
      <c r="E138" s="652"/>
      <c r="F138" s="652"/>
      <c r="G138" s="652"/>
      <c r="H138" s="652"/>
      <c r="I138" s="652"/>
      <c r="J138" s="652"/>
      <c r="K138" s="652"/>
      <c r="L138" s="652"/>
      <c r="M138" s="652"/>
      <c r="N138" s="652"/>
      <c r="O138" s="652"/>
      <c r="P138" s="652"/>
      <c r="Q138" s="652"/>
      <c r="R138" s="652"/>
      <c r="S138" s="652"/>
      <c r="T138" s="652"/>
      <c r="U138" s="652"/>
      <c r="V138" s="652"/>
      <c r="W138" s="652"/>
      <c r="X138" s="652"/>
      <c r="Y138" s="652"/>
      <c r="Z138" s="652"/>
      <c r="AA138" s="652"/>
      <c r="AB138" s="652"/>
      <c r="AC138" s="652"/>
      <c r="AD138" s="676">
        <f t="shared" si="7"/>
        <v>0</v>
      </c>
      <c r="AE138" s="829">
        <f t="shared" si="8"/>
        <v>0</v>
      </c>
      <c r="AF138" s="830" t="str">
        <f>IFERROR(INDEX(Reit!$I:$I,MATCH(AE138,Reit!$F:$F,0)),"")</f>
        <v/>
      </c>
      <c r="AG138" s="652"/>
    </row>
    <row r="139" spans="1:33" hidden="1" x14ac:dyDescent="0.2">
      <c r="A139" s="652"/>
      <c r="B139" s="652"/>
      <c r="C139" s="652"/>
      <c r="D139" s="652"/>
      <c r="E139" s="652"/>
      <c r="F139" s="652"/>
      <c r="G139" s="652"/>
      <c r="H139" s="652"/>
      <c r="I139" s="652"/>
      <c r="J139" s="652"/>
      <c r="K139" s="652"/>
      <c r="L139" s="652"/>
      <c r="M139" s="652"/>
      <c r="N139" s="652"/>
      <c r="O139" s="652"/>
      <c r="P139" s="652"/>
      <c r="Q139" s="652"/>
      <c r="R139" s="652"/>
      <c r="S139" s="652"/>
      <c r="T139" s="652"/>
      <c r="U139" s="652"/>
      <c r="V139" s="652"/>
      <c r="W139" s="652"/>
      <c r="X139" s="652"/>
      <c r="Y139" s="652"/>
      <c r="Z139" s="652"/>
      <c r="AA139" s="652"/>
      <c r="AB139" s="652"/>
      <c r="AC139" s="652"/>
      <c r="AD139" s="676">
        <f t="shared" si="7"/>
        <v>0</v>
      </c>
      <c r="AE139" s="829">
        <f t="shared" si="8"/>
        <v>0</v>
      </c>
      <c r="AF139" s="830" t="str">
        <f>IFERROR(INDEX(Reit!$I:$I,MATCH(AE139,Reit!$F:$F,0)),"")</f>
        <v/>
      </c>
      <c r="AG139" s="652"/>
    </row>
    <row r="140" spans="1:33" hidden="1" x14ac:dyDescent="0.2">
      <c r="A140" s="652"/>
      <c r="B140" s="652"/>
      <c r="C140" s="652"/>
      <c r="D140" s="652"/>
      <c r="E140" s="652"/>
      <c r="F140" s="652"/>
      <c r="G140" s="652"/>
      <c r="H140" s="652"/>
      <c r="I140" s="652"/>
      <c r="J140" s="652"/>
      <c r="K140" s="652"/>
      <c r="L140" s="652"/>
      <c r="M140" s="652"/>
      <c r="N140" s="652"/>
      <c r="O140" s="652"/>
      <c r="P140" s="652"/>
      <c r="Q140" s="652"/>
      <c r="R140" s="652"/>
      <c r="S140" s="652"/>
      <c r="T140" s="652"/>
      <c r="U140" s="652"/>
      <c r="V140" s="652"/>
      <c r="W140" s="652"/>
      <c r="X140" s="652"/>
      <c r="Y140" s="652"/>
      <c r="Z140" s="652"/>
      <c r="AA140" s="652"/>
      <c r="AB140" s="652"/>
      <c r="AC140" s="652"/>
      <c r="AD140" s="676">
        <f t="shared" ref="AD140:AD203" si="9">SUM(AF140:AF140)</f>
        <v>0</v>
      </c>
      <c r="AE140" s="829">
        <f t="shared" si="8"/>
        <v>0</v>
      </c>
      <c r="AF140" s="830" t="str">
        <f>IFERROR(INDEX(Reit!$I:$I,MATCH(AE140,Reit!$F:$F,0)),"")</f>
        <v/>
      </c>
      <c r="AG140" s="652"/>
    </row>
    <row r="141" spans="1:33" hidden="1" x14ac:dyDescent="0.2">
      <c r="A141" s="652"/>
      <c r="B141" s="652"/>
      <c r="C141" s="652"/>
      <c r="D141" s="652"/>
      <c r="E141" s="652"/>
      <c r="F141" s="652"/>
      <c r="G141" s="652"/>
      <c r="H141" s="652"/>
      <c r="I141" s="652"/>
      <c r="J141" s="652"/>
      <c r="K141" s="652"/>
      <c r="L141" s="652"/>
      <c r="M141" s="652"/>
      <c r="N141" s="652"/>
      <c r="O141" s="652"/>
      <c r="P141" s="652"/>
      <c r="Q141" s="652"/>
      <c r="R141" s="652"/>
      <c r="S141" s="652"/>
      <c r="T141" s="652"/>
      <c r="U141" s="652"/>
      <c r="V141" s="652"/>
      <c r="W141" s="652"/>
      <c r="X141" s="652"/>
      <c r="Y141" s="652"/>
      <c r="Z141" s="652"/>
      <c r="AA141" s="652"/>
      <c r="AB141" s="652"/>
      <c r="AC141" s="652"/>
      <c r="AD141" s="676">
        <f t="shared" si="9"/>
        <v>0</v>
      </c>
      <c r="AE141" s="829">
        <f t="shared" si="8"/>
        <v>0</v>
      </c>
      <c r="AF141" s="830" t="str">
        <f>IFERROR(INDEX(Reit!$I:$I,MATCH(AE141,Reit!$F:$F,0)),"")</f>
        <v/>
      </c>
      <c r="AG141" s="652"/>
    </row>
    <row r="142" spans="1:33" hidden="1" x14ac:dyDescent="0.2">
      <c r="A142" s="652"/>
      <c r="B142" s="652"/>
      <c r="C142" s="652"/>
      <c r="D142" s="652"/>
      <c r="E142" s="652"/>
      <c r="F142" s="652"/>
      <c r="G142" s="652"/>
      <c r="H142" s="652"/>
      <c r="I142" s="652"/>
      <c r="J142" s="652"/>
      <c r="K142" s="652"/>
      <c r="L142" s="652"/>
      <c r="M142" s="652"/>
      <c r="N142" s="652"/>
      <c r="O142" s="652"/>
      <c r="P142" s="652"/>
      <c r="Q142" s="652"/>
      <c r="R142" s="652"/>
      <c r="S142" s="652"/>
      <c r="T142" s="652"/>
      <c r="U142" s="652"/>
      <c r="V142" s="652"/>
      <c r="W142" s="652"/>
      <c r="X142" s="652"/>
      <c r="Y142" s="652"/>
      <c r="Z142" s="652"/>
      <c r="AA142" s="652"/>
      <c r="AB142" s="652"/>
      <c r="AC142" s="652"/>
      <c r="AD142" s="676">
        <f t="shared" si="9"/>
        <v>0</v>
      </c>
      <c r="AE142" s="829">
        <f t="shared" si="8"/>
        <v>0</v>
      </c>
      <c r="AF142" s="830" t="str">
        <f>IFERROR(INDEX(Reit!$I:$I,MATCH(AE142,Reit!$F:$F,0)),"")</f>
        <v/>
      </c>
      <c r="AG142" s="652"/>
    </row>
    <row r="143" spans="1:33" hidden="1" x14ac:dyDescent="0.2">
      <c r="A143" s="652"/>
      <c r="B143" s="652"/>
      <c r="C143" s="652"/>
      <c r="D143" s="652"/>
      <c r="E143" s="652"/>
      <c r="F143" s="652"/>
      <c r="G143" s="652"/>
      <c r="H143" s="652"/>
      <c r="I143" s="652"/>
      <c r="J143" s="652"/>
      <c r="K143" s="652"/>
      <c r="L143" s="652"/>
      <c r="M143" s="652"/>
      <c r="N143" s="652"/>
      <c r="O143" s="652"/>
      <c r="P143" s="652"/>
      <c r="Q143" s="652"/>
      <c r="R143" s="652"/>
      <c r="S143" s="652"/>
      <c r="T143" s="652"/>
      <c r="U143" s="652"/>
      <c r="V143" s="652"/>
      <c r="W143" s="652"/>
      <c r="X143" s="652"/>
      <c r="Y143" s="652"/>
      <c r="Z143" s="652"/>
      <c r="AA143" s="652"/>
      <c r="AB143" s="652"/>
      <c r="AC143" s="652"/>
      <c r="AD143" s="676">
        <f t="shared" si="9"/>
        <v>0</v>
      </c>
      <c r="AE143" s="829">
        <f t="shared" si="8"/>
        <v>0</v>
      </c>
      <c r="AF143" s="830" t="str">
        <f>IFERROR(INDEX(Reit!$I:$I,MATCH(AE143,Reit!$F:$F,0)),"")</f>
        <v/>
      </c>
      <c r="AG143" s="652"/>
    </row>
    <row r="144" spans="1:33" hidden="1" x14ac:dyDescent="0.2">
      <c r="A144" s="652"/>
      <c r="B144" s="652"/>
      <c r="C144" s="652"/>
      <c r="D144" s="652"/>
      <c r="E144" s="652"/>
      <c r="F144" s="652"/>
      <c r="G144" s="652"/>
      <c r="H144" s="652"/>
      <c r="I144" s="652"/>
      <c r="J144" s="652"/>
      <c r="K144" s="652"/>
      <c r="L144" s="652"/>
      <c r="M144" s="652"/>
      <c r="N144" s="652"/>
      <c r="O144" s="652"/>
      <c r="P144" s="652"/>
      <c r="Q144" s="652"/>
      <c r="R144" s="652"/>
      <c r="S144" s="652"/>
      <c r="T144" s="652"/>
      <c r="U144" s="652"/>
      <c r="V144" s="652"/>
      <c r="W144" s="652"/>
      <c r="X144" s="652"/>
      <c r="Y144" s="652"/>
      <c r="Z144" s="652"/>
      <c r="AA144" s="652"/>
      <c r="AB144" s="652"/>
      <c r="AC144" s="652"/>
      <c r="AD144" s="676">
        <f t="shared" si="9"/>
        <v>0</v>
      </c>
      <c r="AE144" s="829">
        <f t="shared" si="8"/>
        <v>0</v>
      </c>
      <c r="AF144" s="830" t="str">
        <f>IFERROR(INDEX(Reit!$I:$I,MATCH(AE144,Reit!$F:$F,0)),"")</f>
        <v/>
      </c>
      <c r="AG144" s="652"/>
    </row>
    <row r="145" spans="1:33"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76">
        <f t="shared" si="9"/>
        <v>0</v>
      </c>
      <c r="AE145" s="829">
        <f t="shared" si="8"/>
        <v>0</v>
      </c>
      <c r="AF145" s="830" t="str">
        <f>IFERROR(INDEX(Reit!$I:$I,MATCH(AE145,Reit!$F:$F,0)),"")</f>
        <v/>
      </c>
      <c r="AG145" s="652"/>
    </row>
    <row r="146" spans="1:33"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76">
        <f t="shared" si="9"/>
        <v>0</v>
      </c>
      <c r="AE146" s="829">
        <f t="shared" si="8"/>
        <v>0</v>
      </c>
      <c r="AF146" s="830" t="str">
        <f>IFERROR(INDEX(Reit!$I:$I,MATCH(AE146,Reit!$F:$F,0)),"")</f>
        <v/>
      </c>
      <c r="AG146" s="652"/>
    </row>
    <row r="147" spans="1:33"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76">
        <f t="shared" si="9"/>
        <v>0</v>
      </c>
      <c r="AE147" s="829">
        <f t="shared" si="8"/>
        <v>0</v>
      </c>
      <c r="AF147" s="830" t="str">
        <f>IFERROR(INDEX(Reit!$I:$I,MATCH(AE147,Reit!$F:$F,0)),"")</f>
        <v/>
      </c>
      <c r="AG147" s="652"/>
    </row>
    <row r="148" spans="1:33"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76">
        <f t="shared" si="9"/>
        <v>0</v>
      </c>
      <c r="AE148" s="829">
        <f t="shared" si="8"/>
        <v>0</v>
      </c>
      <c r="AF148" s="830" t="str">
        <f>IFERROR(INDEX(Reit!$I:$I,MATCH(AE148,Reit!$F:$F,0)),"")</f>
        <v/>
      </c>
      <c r="AG148" s="652"/>
    </row>
    <row r="149" spans="1:33"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76">
        <f t="shared" si="9"/>
        <v>0</v>
      </c>
      <c r="AE149" s="829">
        <f t="shared" si="8"/>
        <v>0</v>
      </c>
      <c r="AF149" s="830" t="str">
        <f>IFERROR(INDEX(Reit!$I:$I,MATCH(AE149,Reit!$F:$F,0)),"")</f>
        <v/>
      </c>
      <c r="AG149" s="652"/>
    </row>
    <row r="150" spans="1:33" hidden="1" x14ac:dyDescent="0.2">
      <c r="A150" s="652"/>
      <c r="B150" s="652"/>
      <c r="C150" s="652"/>
      <c r="D150" s="652"/>
      <c r="E150" s="652"/>
      <c r="F150" s="652"/>
      <c r="G150" s="652"/>
      <c r="H150" s="652"/>
      <c r="I150" s="652"/>
      <c r="J150" s="652"/>
      <c r="K150" s="652"/>
      <c r="L150" s="657"/>
      <c r="M150" s="657"/>
      <c r="N150" s="657"/>
      <c r="O150" s="652"/>
      <c r="P150" s="652"/>
      <c r="Q150" s="652"/>
      <c r="R150" s="652"/>
      <c r="S150" s="652"/>
      <c r="T150" s="657"/>
      <c r="U150" s="657"/>
      <c r="V150" s="657"/>
      <c r="W150" s="652"/>
      <c r="X150" s="652"/>
      <c r="Y150" s="652"/>
      <c r="Z150" s="652"/>
      <c r="AA150" s="652"/>
      <c r="AB150" s="652"/>
      <c r="AC150" s="652"/>
      <c r="AD150" s="676">
        <f t="shared" si="9"/>
        <v>0</v>
      </c>
      <c r="AE150" s="829">
        <f t="shared" si="8"/>
        <v>0</v>
      </c>
      <c r="AF150" s="830" t="str">
        <f>IFERROR(INDEX(Reit!$I:$I,MATCH(AE150,Reit!$F:$F,0)),"")</f>
        <v/>
      </c>
      <c r="AG150" s="652"/>
    </row>
    <row r="151" spans="1:33" hidden="1" x14ac:dyDescent="0.2">
      <c r="A151" s="652"/>
      <c r="B151" s="652"/>
      <c r="C151" s="652"/>
      <c r="D151" s="652"/>
      <c r="E151" s="652"/>
      <c r="F151" s="652"/>
      <c r="G151" s="652"/>
      <c r="H151" s="652"/>
      <c r="I151" s="652"/>
      <c r="J151" s="652"/>
      <c r="K151" s="652"/>
      <c r="L151" s="657"/>
      <c r="M151" s="657"/>
      <c r="N151" s="657"/>
      <c r="O151" s="652"/>
      <c r="P151" s="652"/>
      <c r="Q151" s="652"/>
      <c r="R151" s="652"/>
      <c r="S151" s="652"/>
      <c r="T151" s="657"/>
      <c r="U151" s="657"/>
      <c r="V151" s="657"/>
      <c r="W151" s="652"/>
      <c r="X151" s="652"/>
      <c r="Y151" s="652"/>
      <c r="Z151" s="652"/>
      <c r="AA151" s="652"/>
      <c r="AB151" s="652"/>
      <c r="AC151" s="652"/>
      <c r="AD151" s="676">
        <f t="shared" si="9"/>
        <v>0</v>
      </c>
      <c r="AE151" s="829">
        <f t="shared" si="8"/>
        <v>0</v>
      </c>
      <c r="AF151" s="830" t="str">
        <f>IFERROR(INDEX(Reit!$I:$I,MATCH(AE151,Reit!$F:$F,0)),"")</f>
        <v/>
      </c>
      <c r="AG151" s="652"/>
    </row>
    <row r="152" spans="1:33" hidden="1" x14ac:dyDescent="0.2">
      <c r="A152" s="652"/>
      <c r="B152" s="652"/>
      <c r="C152" s="652"/>
      <c r="D152" s="652"/>
      <c r="E152" s="652"/>
      <c r="F152" s="652"/>
      <c r="G152" s="652"/>
      <c r="H152" s="652"/>
      <c r="I152" s="652"/>
      <c r="J152" s="652"/>
      <c r="K152" s="652"/>
      <c r="L152" s="657"/>
      <c r="M152" s="657"/>
      <c r="N152" s="657"/>
      <c r="O152" s="652"/>
      <c r="P152" s="652"/>
      <c r="Q152" s="652"/>
      <c r="R152" s="652"/>
      <c r="S152" s="652"/>
      <c r="T152" s="657"/>
      <c r="U152" s="657"/>
      <c r="V152" s="657"/>
      <c r="W152" s="652"/>
      <c r="X152" s="652"/>
      <c r="Y152" s="652"/>
      <c r="Z152" s="652"/>
      <c r="AA152" s="652"/>
      <c r="AB152" s="652"/>
      <c r="AC152" s="652"/>
      <c r="AD152" s="676">
        <f t="shared" si="9"/>
        <v>0</v>
      </c>
      <c r="AE152" s="829">
        <f t="shared" si="8"/>
        <v>0</v>
      </c>
      <c r="AF152" s="830" t="str">
        <f>IFERROR(INDEX(Reit!$I:$I,MATCH(AE152,Reit!$F:$F,0)),"")</f>
        <v/>
      </c>
      <c r="AG152" s="652"/>
    </row>
    <row r="153" spans="1:33" hidden="1" x14ac:dyDescent="0.2">
      <c r="A153" s="652"/>
      <c r="B153" s="652"/>
      <c r="C153" s="652"/>
      <c r="D153" s="652"/>
      <c r="E153" s="652"/>
      <c r="F153" s="652"/>
      <c r="G153" s="652"/>
      <c r="H153" s="652"/>
      <c r="I153" s="652"/>
      <c r="J153" s="652"/>
      <c r="K153" s="652"/>
      <c r="L153" s="657"/>
      <c r="M153" s="657"/>
      <c r="N153" s="657"/>
      <c r="O153" s="652"/>
      <c r="P153" s="652"/>
      <c r="Q153" s="652"/>
      <c r="R153" s="652"/>
      <c r="S153" s="652"/>
      <c r="T153" s="657"/>
      <c r="U153" s="657"/>
      <c r="V153" s="657"/>
      <c r="W153" s="652"/>
      <c r="X153" s="652"/>
      <c r="Y153" s="652"/>
      <c r="Z153" s="652"/>
      <c r="AA153" s="652"/>
      <c r="AB153" s="652"/>
      <c r="AC153" s="652"/>
      <c r="AD153" s="676">
        <f t="shared" si="9"/>
        <v>0</v>
      </c>
      <c r="AE153" s="829">
        <f t="shared" si="8"/>
        <v>0</v>
      </c>
      <c r="AF153" s="830" t="str">
        <f>IFERROR(INDEX(Reit!$I:$I,MATCH(AE153,Reit!$F:$F,0)),"")</f>
        <v/>
      </c>
      <c r="AG153" s="652"/>
    </row>
    <row r="154" spans="1:33" hidden="1" x14ac:dyDescent="0.2">
      <c r="A154" s="652"/>
      <c r="B154" s="652"/>
      <c r="C154" s="652"/>
      <c r="D154" s="652"/>
      <c r="E154" s="652"/>
      <c r="F154" s="652"/>
      <c r="G154" s="652"/>
      <c r="H154" s="652"/>
      <c r="I154" s="652"/>
      <c r="J154" s="652"/>
      <c r="K154" s="652"/>
      <c r="L154" s="657"/>
      <c r="M154" s="657"/>
      <c r="N154" s="657"/>
      <c r="O154" s="652"/>
      <c r="P154" s="652"/>
      <c r="Q154" s="652"/>
      <c r="R154" s="652"/>
      <c r="S154" s="652"/>
      <c r="T154" s="657"/>
      <c r="U154" s="657"/>
      <c r="V154" s="657"/>
      <c r="W154" s="652"/>
      <c r="X154" s="652"/>
      <c r="Y154" s="652"/>
      <c r="Z154" s="652"/>
      <c r="AA154" s="652"/>
      <c r="AB154" s="652"/>
      <c r="AC154" s="652"/>
      <c r="AD154" s="676">
        <f t="shared" si="9"/>
        <v>0</v>
      </c>
      <c r="AE154" s="829">
        <f t="shared" si="8"/>
        <v>0</v>
      </c>
      <c r="AF154" s="830" t="str">
        <f>IFERROR(INDEX(Reit!$I:$I,MATCH(AE154,Reit!$F:$F,0)),"")</f>
        <v/>
      </c>
      <c r="AG154" s="652"/>
    </row>
    <row r="155" spans="1:33" hidden="1" x14ac:dyDescent="0.2">
      <c r="A155" s="652"/>
      <c r="B155" s="652"/>
      <c r="C155" s="652"/>
      <c r="D155" s="652"/>
      <c r="E155" s="652"/>
      <c r="F155" s="652"/>
      <c r="G155" s="652"/>
      <c r="H155" s="652"/>
      <c r="I155" s="652"/>
      <c r="J155" s="652"/>
      <c r="K155" s="652"/>
      <c r="L155" s="657"/>
      <c r="M155" s="657"/>
      <c r="N155" s="657"/>
      <c r="O155" s="652"/>
      <c r="P155" s="652"/>
      <c r="Q155" s="652"/>
      <c r="R155" s="652"/>
      <c r="S155" s="652"/>
      <c r="T155" s="657"/>
      <c r="U155" s="657"/>
      <c r="V155" s="657"/>
      <c r="W155" s="652"/>
      <c r="X155" s="652"/>
      <c r="Y155" s="652"/>
      <c r="Z155" s="652"/>
      <c r="AA155" s="652"/>
      <c r="AB155" s="652"/>
      <c r="AC155" s="652"/>
      <c r="AD155" s="676">
        <f t="shared" si="9"/>
        <v>0</v>
      </c>
      <c r="AE155" s="829">
        <f t="shared" si="8"/>
        <v>0</v>
      </c>
      <c r="AF155" s="830" t="str">
        <f>IFERROR(INDEX(Reit!$I:$I,MATCH(AE155,Reit!$F:$F,0)),"")</f>
        <v/>
      </c>
      <c r="AG155" s="652"/>
    </row>
    <row r="156" spans="1:33" hidden="1" x14ac:dyDescent="0.2">
      <c r="A156" s="652"/>
      <c r="B156" s="652"/>
      <c r="C156" s="652"/>
      <c r="D156" s="652"/>
      <c r="E156" s="652"/>
      <c r="F156" s="652"/>
      <c r="G156" s="652"/>
      <c r="H156" s="652"/>
      <c r="I156" s="652"/>
      <c r="J156" s="652"/>
      <c r="K156" s="652"/>
      <c r="L156" s="657"/>
      <c r="M156" s="657"/>
      <c r="N156" s="657"/>
      <c r="O156" s="652"/>
      <c r="P156" s="652"/>
      <c r="Q156" s="652"/>
      <c r="R156" s="652"/>
      <c r="S156" s="652"/>
      <c r="T156" s="657"/>
      <c r="U156" s="657"/>
      <c r="V156" s="657"/>
      <c r="W156" s="652"/>
      <c r="X156" s="652"/>
      <c r="Y156" s="652"/>
      <c r="Z156" s="652"/>
      <c r="AA156" s="652"/>
      <c r="AB156" s="652"/>
      <c r="AC156" s="652"/>
      <c r="AD156" s="676">
        <f t="shared" si="9"/>
        <v>0</v>
      </c>
      <c r="AE156" s="829">
        <f t="shared" si="8"/>
        <v>0</v>
      </c>
      <c r="AF156" s="830" t="str">
        <f>IFERROR(INDEX(Reit!$I:$I,MATCH(AE156,Reit!$F:$F,0)),"")</f>
        <v/>
      </c>
      <c r="AG156" s="652"/>
    </row>
    <row r="157" spans="1:33" hidden="1" x14ac:dyDescent="0.2">
      <c r="A157" s="652"/>
      <c r="B157" s="652"/>
      <c r="C157" s="652"/>
      <c r="D157" s="652"/>
      <c r="E157" s="652"/>
      <c r="F157" s="652"/>
      <c r="G157" s="652"/>
      <c r="H157" s="652"/>
      <c r="I157" s="652"/>
      <c r="J157" s="652"/>
      <c r="K157" s="652"/>
      <c r="L157" s="657"/>
      <c r="M157" s="657"/>
      <c r="N157" s="657"/>
      <c r="O157" s="652"/>
      <c r="P157" s="652"/>
      <c r="Q157" s="652"/>
      <c r="R157" s="652"/>
      <c r="S157" s="652"/>
      <c r="T157" s="657"/>
      <c r="U157" s="657"/>
      <c r="V157" s="657"/>
      <c r="W157" s="652"/>
      <c r="X157" s="652"/>
      <c r="Y157" s="652"/>
      <c r="Z157" s="652"/>
      <c r="AA157" s="652"/>
      <c r="AB157" s="652"/>
      <c r="AC157" s="652"/>
      <c r="AD157" s="676">
        <f t="shared" si="9"/>
        <v>0</v>
      </c>
      <c r="AE157" s="829">
        <f t="shared" si="8"/>
        <v>0</v>
      </c>
      <c r="AF157" s="830" t="str">
        <f>IFERROR(INDEX(Reit!$I:$I,MATCH(AE157,Reit!$F:$F,0)),"")</f>
        <v/>
      </c>
      <c r="AG157" s="652"/>
    </row>
    <row r="158" spans="1:33" hidden="1" x14ac:dyDescent="0.2">
      <c r="A158" s="652"/>
      <c r="B158" s="652"/>
      <c r="C158" s="652"/>
      <c r="D158" s="652"/>
      <c r="E158" s="652"/>
      <c r="F158" s="652"/>
      <c r="G158" s="652"/>
      <c r="H158" s="652"/>
      <c r="I158" s="652"/>
      <c r="J158" s="652"/>
      <c r="K158" s="652"/>
      <c r="L158" s="657"/>
      <c r="M158" s="657"/>
      <c r="N158" s="657"/>
      <c r="O158" s="652"/>
      <c r="P158" s="652"/>
      <c r="Q158" s="652"/>
      <c r="R158" s="652"/>
      <c r="S158" s="652"/>
      <c r="T158" s="657"/>
      <c r="U158" s="657"/>
      <c r="V158" s="657"/>
      <c r="W158" s="652"/>
      <c r="X158" s="652"/>
      <c r="Y158" s="652"/>
      <c r="Z158" s="652"/>
      <c r="AA158" s="652"/>
      <c r="AB158" s="652"/>
      <c r="AC158" s="652"/>
      <c r="AD158" s="676">
        <f t="shared" si="9"/>
        <v>0</v>
      </c>
      <c r="AE158" s="829">
        <f t="shared" si="8"/>
        <v>0</v>
      </c>
      <c r="AF158" s="830" t="str">
        <f>IFERROR(INDEX(Reit!$I:$I,MATCH(AE158,Reit!$F:$F,0)),"")</f>
        <v/>
      </c>
      <c r="AG158" s="652"/>
    </row>
    <row r="159" spans="1:33" hidden="1" x14ac:dyDescent="0.2">
      <c r="A159" s="652"/>
      <c r="B159" s="652"/>
      <c r="C159" s="652"/>
      <c r="D159" s="652"/>
      <c r="E159" s="652"/>
      <c r="F159" s="652"/>
      <c r="G159" s="652"/>
      <c r="H159" s="652"/>
      <c r="I159" s="652"/>
      <c r="J159" s="652"/>
      <c r="K159" s="652"/>
      <c r="L159" s="657"/>
      <c r="M159" s="657"/>
      <c r="N159" s="657"/>
      <c r="O159" s="652"/>
      <c r="P159" s="652"/>
      <c r="Q159" s="652"/>
      <c r="R159" s="652"/>
      <c r="S159" s="652"/>
      <c r="T159" s="657"/>
      <c r="U159" s="657"/>
      <c r="V159" s="657"/>
      <c r="W159" s="652"/>
      <c r="X159" s="652"/>
      <c r="Y159" s="652"/>
      <c r="Z159" s="652"/>
      <c r="AA159" s="652"/>
      <c r="AB159" s="652"/>
      <c r="AC159" s="652"/>
      <c r="AD159" s="676">
        <f t="shared" si="9"/>
        <v>0</v>
      </c>
      <c r="AE159" s="829">
        <f t="shared" si="8"/>
        <v>0</v>
      </c>
      <c r="AF159" s="830" t="str">
        <f>IFERROR(INDEX(Reit!$I:$I,MATCH(AE159,Reit!$F:$F,0)),"")</f>
        <v/>
      </c>
      <c r="AG159" s="652"/>
    </row>
    <row r="160" spans="1:33" hidden="1" x14ac:dyDescent="0.2">
      <c r="A160" s="652"/>
      <c r="B160" s="652"/>
      <c r="C160" s="652"/>
      <c r="D160" s="652"/>
      <c r="E160" s="652"/>
      <c r="F160" s="652"/>
      <c r="G160" s="652"/>
      <c r="H160" s="652"/>
      <c r="I160" s="652"/>
      <c r="J160" s="652"/>
      <c r="K160" s="652"/>
      <c r="L160" s="657"/>
      <c r="M160" s="657"/>
      <c r="N160" s="657"/>
      <c r="O160" s="652"/>
      <c r="P160" s="652"/>
      <c r="Q160" s="652"/>
      <c r="R160" s="652"/>
      <c r="S160" s="652"/>
      <c r="T160" s="657"/>
      <c r="U160" s="657"/>
      <c r="V160" s="657"/>
      <c r="W160" s="652"/>
      <c r="X160" s="652"/>
      <c r="Y160" s="652"/>
      <c r="Z160" s="652"/>
      <c r="AA160" s="652"/>
      <c r="AB160" s="652"/>
      <c r="AC160" s="652"/>
      <c r="AD160" s="676">
        <f t="shared" si="9"/>
        <v>0</v>
      </c>
      <c r="AE160" s="829">
        <f t="shared" si="8"/>
        <v>0</v>
      </c>
      <c r="AF160" s="830" t="str">
        <f>IFERROR(INDEX(Reit!$I:$I,MATCH(AE160,Reit!$F:$F,0)),"")</f>
        <v/>
      </c>
      <c r="AG160" s="652"/>
    </row>
    <row r="161" spans="1:33"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76">
        <f t="shared" si="9"/>
        <v>0</v>
      </c>
      <c r="AE161" s="829">
        <f t="shared" si="8"/>
        <v>0</v>
      </c>
      <c r="AF161" s="830" t="str">
        <f>IFERROR(INDEX(Reit!$I:$I,MATCH(AE161,Reit!$F:$F,0)),"")</f>
        <v/>
      </c>
      <c r="AG161" s="652"/>
    </row>
    <row r="162" spans="1:33" hidden="1" x14ac:dyDescent="0.2">
      <c r="A162" s="652"/>
      <c r="B162" s="652"/>
      <c r="C162" s="652"/>
      <c r="D162" s="652"/>
      <c r="E162" s="652"/>
      <c r="F162" s="652"/>
      <c r="G162" s="652"/>
      <c r="H162" s="652"/>
      <c r="I162" s="652"/>
      <c r="J162" s="652"/>
      <c r="K162" s="652"/>
      <c r="L162" s="652"/>
      <c r="M162" s="652"/>
      <c r="N162" s="652"/>
      <c r="O162" s="652"/>
      <c r="P162" s="652"/>
      <c r="Q162" s="652"/>
      <c r="R162" s="652"/>
      <c r="S162" s="652"/>
      <c r="T162" s="652"/>
      <c r="U162" s="652"/>
      <c r="V162" s="652"/>
      <c r="W162" s="652"/>
      <c r="X162" s="652"/>
      <c r="Y162" s="652"/>
      <c r="Z162" s="652"/>
      <c r="AA162" s="652"/>
      <c r="AB162" s="652"/>
      <c r="AC162" s="652"/>
      <c r="AD162" s="676">
        <f t="shared" si="9"/>
        <v>0</v>
      </c>
      <c r="AE162" s="829">
        <f t="shared" si="8"/>
        <v>0</v>
      </c>
      <c r="AF162" s="830" t="str">
        <f>IFERROR(INDEX(Reit!$I:$I,MATCH(AE162,Reit!$F:$F,0)),"")</f>
        <v/>
      </c>
      <c r="AG162" s="652"/>
    </row>
    <row r="163" spans="1:33" hidden="1" x14ac:dyDescent="0.2">
      <c r="A163" s="652"/>
      <c r="B163" s="652"/>
      <c r="C163" s="652"/>
      <c r="D163" s="652"/>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76">
        <f t="shared" si="9"/>
        <v>0</v>
      </c>
      <c r="AE163" s="829">
        <f t="shared" si="8"/>
        <v>0</v>
      </c>
      <c r="AF163" s="830" t="str">
        <f>IFERROR(INDEX(Reit!$I:$I,MATCH(AE163,Reit!$F:$F,0)),"")</f>
        <v/>
      </c>
      <c r="AG163" s="652"/>
    </row>
    <row r="164" spans="1:33" hidden="1" x14ac:dyDescent="0.2">
      <c r="A164" s="652"/>
      <c r="B164" s="652"/>
      <c r="C164" s="652"/>
      <c r="D164" s="652"/>
      <c r="E164" s="652"/>
      <c r="F164" s="652"/>
      <c r="G164" s="652"/>
      <c r="H164" s="652"/>
      <c r="I164" s="652"/>
      <c r="J164" s="652"/>
      <c r="K164" s="652"/>
      <c r="L164" s="652"/>
      <c r="M164" s="652"/>
      <c r="N164" s="652"/>
      <c r="O164" s="652"/>
      <c r="P164" s="652"/>
      <c r="Q164" s="652"/>
      <c r="R164" s="652"/>
      <c r="S164" s="652"/>
      <c r="T164" s="652"/>
      <c r="U164" s="652"/>
      <c r="V164" s="652"/>
      <c r="W164" s="652"/>
      <c r="X164" s="652"/>
      <c r="Y164" s="652"/>
      <c r="Z164" s="652"/>
      <c r="AA164" s="652"/>
      <c r="AB164" s="652"/>
      <c r="AC164" s="652"/>
      <c r="AD164" s="676">
        <f t="shared" si="9"/>
        <v>0</v>
      </c>
      <c r="AE164" s="829">
        <f t="shared" si="8"/>
        <v>0</v>
      </c>
      <c r="AF164" s="830" t="str">
        <f>IFERROR(INDEX(Reit!$I:$I,MATCH(AE164,Reit!$F:$F,0)),"")</f>
        <v/>
      </c>
      <c r="AG164" s="652"/>
    </row>
    <row r="165" spans="1:33" hidden="1" x14ac:dyDescent="0.2">
      <c r="A165" s="652"/>
      <c r="B165" s="652"/>
      <c r="C165" s="652"/>
      <c r="D165" s="652"/>
      <c r="E165" s="652"/>
      <c r="F165" s="652"/>
      <c r="G165" s="652"/>
      <c r="H165" s="652"/>
      <c r="I165" s="652"/>
      <c r="J165" s="652"/>
      <c r="K165" s="652"/>
      <c r="L165" s="652"/>
      <c r="M165" s="652"/>
      <c r="N165" s="652"/>
      <c r="O165" s="652"/>
      <c r="P165" s="652"/>
      <c r="Q165" s="652"/>
      <c r="R165" s="652"/>
      <c r="S165" s="652"/>
      <c r="T165" s="652"/>
      <c r="U165" s="652"/>
      <c r="V165" s="652"/>
      <c r="W165" s="652"/>
      <c r="X165" s="652"/>
      <c r="Y165" s="652"/>
      <c r="Z165" s="652"/>
      <c r="AA165" s="652"/>
      <c r="AB165" s="652"/>
      <c r="AC165" s="652"/>
      <c r="AD165" s="676">
        <f t="shared" si="9"/>
        <v>0</v>
      </c>
      <c r="AE165" s="829">
        <f t="shared" si="8"/>
        <v>0</v>
      </c>
      <c r="AF165" s="830" t="str">
        <f>IFERROR(INDEX(Reit!$I:$I,MATCH(AE165,Reit!$F:$F,0)),"")</f>
        <v/>
      </c>
      <c r="AG165" s="652"/>
    </row>
    <row r="166" spans="1:33" hidden="1" x14ac:dyDescent="0.2">
      <c r="A166" s="652"/>
      <c r="B166" s="652"/>
      <c r="C166" s="652"/>
      <c r="D166" s="652"/>
      <c r="E166" s="652"/>
      <c r="F166" s="652"/>
      <c r="G166" s="652"/>
      <c r="H166" s="652"/>
      <c r="I166" s="652"/>
      <c r="J166" s="652"/>
      <c r="K166" s="652"/>
      <c r="L166" s="652"/>
      <c r="M166" s="652"/>
      <c r="N166" s="652"/>
      <c r="O166" s="652"/>
      <c r="P166" s="652"/>
      <c r="Q166" s="652"/>
      <c r="R166" s="652"/>
      <c r="S166" s="652"/>
      <c r="T166" s="652"/>
      <c r="U166" s="652"/>
      <c r="V166" s="652"/>
      <c r="W166" s="652"/>
      <c r="X166" s="652"/>
      <c r="Y166" s="652"/>
      <c r="Z166" s="652"/>
      <c r="AA166" s="652"/>
      <c r="AB166" s="652"/>
      <c r="AC166" s="652"/>
      <c r="AD166" s="676">
        <f t="shared" si="9"/>
        <v>0</v>
      </c>
      <c r="AE166" s="829">
        <f t="shared" si="8"/>
        <v>0</v>
      </c>
      <c r="AF166" s="830" t="str">
        <f>IFERROR(INDEX(Reit!$I:$I,MATCH(AE166,Reit!$F:$F,0)),"")</f>
        <v/>
      </c>
      <c r="AG166" s="652"/>
    </row>
    <row r="167" spans="1:33" hidden="1" x14ac:dyDescent="0.2">
      <c r="A167" s="652"/>
      <c r="B167" s="652"/>
      <c r="C167" s="652"/>
      <c r="D167" s="652"/>
      <c r="E167" s="652"/>
      <c r="F167" s="652"/>
      <c r="G167" s="652"/>
      <c r="H167" s="652"/>
      <c r="I167" s="652"/>
      <c r="J167" s="652"/>
      <c r="K167" s="652"/>
      <c r="L167" s="652"/>
      <c r="M167" s="652"/>
      <c r="N167" s="652"/>
      <c r="O167" s="652"/>
      <c r="P167" s="652"/>
      <c r="Q167" s="652"/>
      <c r="R167" s="652"/>
      <c r="S167" s="652"/>
      <c r="T167" s="652"/>
      <c r="U167" s="652"/>
      <c r="V167" s="652"/>
      <c r="W167" s="652"/>
      <c r="X167" s="652"/>
      <c r="Y167" s="652"/>
      <c r="Z167" s="652"/>
      <c r="AA167" s="652"/>
      <c r="AB167" s="652"/>
      <c r="AC167" s="652"/>
      <c r="AD167" s="676">
        <f t="shared" si="9"/>
        <v>0</v>
      </c>
      <c r="AE167" s="829">
        <f t="shared" si="8"/>
        <v>0</v>
      </c>
      <c r="AF167" s="830" t="str">
        <f>IFERROR(INDEX(Reit!$I:$I,MATCH(AE167,Reit!$F:$F,0)),"")</f>
        <v/>
      </c>
      <c r="AG167" s="652"/>
    </row>
    <row r="168" spans="1:33" hidden="1" x14ac:dyDescent="0.2">
      <c r="A168" s="652"/>
      <c r="B168" s="652"/>
      <c r="C168" s="652"/>
      <c r="D168" s="652"/>
      <c r="E168" s="652"/>
      <c r="F168" s="652"/>
      <c r="G168" s="652"/>
      <c r="H168" s="652"/>
      <c r="I168" s="652"/>
      <c r="J168" s="652"/>
      <c r="K168" s="652"/>
      <c r="L168" s="652"/>
      <c r="M168" s="652"/>
      <c r="N168" s="652"/>
      <c r="O168" s="652"/>
      <c r="P168" s="652"/>
      <c r="Q168" s="652"/>
      <c r="R168" s="652"/>
      <c r="S168" s="652"/>
      <c r="T168" s="652"/>
      <c r="U168" s="652"/>
      <c r="V168" s="652"/>
      <c r="W168" s="652"/>
      <c r="X168" s="652"/>
      <c r="Y168" s="652"/>
      <c r="Z168" s="652"/>
      <c r="AA168" s="652"/>
      <c r="AB168" s="652"/>
      <c r="AC168" s="652"/>
      <c r="AD168" s="676">
        <f t="shared" si="9"/>
        <v>0</v>
      </c>
      <c r="AE168" s="829">
        <f t="shared" si="8"/>
        <v>0</v>
      </c>
      <c r="AF168" s="830" t="str">
        <f>IFERROR(INDEX(Reit!$I:$I,MATCH(AE168,Reit!$F:$F,0)),"")</f>
        <v/>
      </c>
      <c r="AG168" s="652"/>
    </row>
    <row r="169" spans="1:33" hidden="1" x14ac:dyDescent="0.2">
      <c r="A169" s="652"/>
      <c r="B169" s="652"/>
      <c r="C169" s="652"/>
      <c r="D169" s="652"/>
      <c r="E169" s="652"/>
      <c r="F169" s="652"/>
      <c r="G169" s="652"/>
      <c r="H169" s="652"/>
      <c r="I169" s="652"/>
      <c r="J169" s="652"/>
      <c r="K169" s="652"/>
      <c r="L169" s="652"/>
      <c r="M169" s="652"/>
      <c r="N169" s="652"/>
      <c r="O169" s="652"/>
      <c r="P169" s="652"/>
      <c r="Q169" s="652"/>
      <c r="R169" s="652"/>
      <c r="S169" s="652"/>
      <c r="T169" s="652"/>
      <c r="U169" s="652"/>
      <c r="V169" s="652"/>
      <c r="W169" s="652"/>
      <c r="X169" s="652"/>
      <c r="Y169" s="652"/>
      <c r="Z169" s="652"/>
      <c r="AA169" s="652"/>
      <c r="AB169" s="652"/>
      <c r="AC169" s="652"/>
      <c r="AD169" s="676">
        <f t="shared" si="9"/>
        <v>0</v>
      </c>
      <c r="AE169" s="829">
        <f t="shared" si="8"/>
        <v>0</v>
      </c>
      <c r="AF169" s="830" t="str">
        <f>IFERROR(INDEX(Reit!$I:$I,MATCH(AE169,Reit!$F:$F,0)),"")</f>
        <v/>
      </c>
      <c r="AG169" s="652"/>
    </row>
    <row r="170" spans="1:33" hidden="1" x14ac:dyDescent="0.2">
      <c r="A170" s="652"/>
      <c r="B170" s="652"/>
      <c r="C170" s="652"/>
      <c r="D170" s="652"/>
      <c r="E170" s="652"/>
      <c r="F170" s="652"/>
      <c r="G170" s="652"/>
      <c r="H170" s="652"/>
      <c r="I170" s="652"/>
      <c r="J170" s="652"/>
      <c r="K170" s="652"/>
      <c r="L170" s="652"/>
      <c r="M170" s="652"/>
      <c r="N170" s="652"/>
      <c r="O170" s="652"/>
      <c r="P170" s="652"/>
      <c r="Q170" s="652"/>
      <c r="R170" s="652"/>
      <c r="S170" s="652"/>
      <c r="T170" s="652"/>
      <c r="U170" s="652"/>
      <c r="V170" s="652"/>
      <c r="W170" s="652"/>
      <c r="X170" s="652"/>
      <c r="Y170" s="652"/>
      <c r="Z170" s="652"/>
      <c r="AA170" s="652"/>
      <c r="AB170" s="652"/>
      <c r="AC170" s="652"/>
      <c r="AD170" s="676">
        <f t="shared" si="9"/>
        <v>0</v>
      </c>
      <c r="AE170" s="829">
        <f t="shared" si="8"/>
        <v>0</v>
      </c>
      <c r="AF170" s="830" t="str">
        <f>IFERROR(INDEX(Reit!$I:$I,MATCH(AE170,Reit!$F:$F,0)),"")</f>
        <v/>
      </c>
      <c r="AG170" s="652"/>
    </row>
    <row r="171" spans="1:33" hidden="1" x14ac:dyDescent="0.2">
      <c r="A171" s="652"/>
      <c r="B171" s="652"/>
      <c r="C171" s="652"/>
      <c r="D171" s="652"/>
      <c r="E171" s="652"/>
      <c r="F171" s="652"/>
      <c r="G171" s="652"/>
      <c r="H171" s="652"/>
      <c r="I171" s="652"/>
      <c r="J171" s="652"/>
      <c r="K171" s="652"/>
      <c r="L171" s="652"/>
      <c r="M171" s="652"/>
      <c r="N171" s="652"/>
      <c r="O171" s="652"/>
      <c r="P171" s="652"/>
      <c r="Q171" s="652"/>
      <c r="R171" s="652"/>
      <c r="S171" s="652"/>
      <c r="T171" s="652"/>
      <c r="U171" s="652"/>
      <c r="V171" s="652"/>
      <c r="W171" s="652"/>
      <c r="X171" s="652"/>
      <c r="Y171" s="652"/>
      <c r="Z171" s="652"/>
      <c r="AA171" s="652"/>
      <c r="AB171" s="652"/>
      <c r="AC171" s="652"/>
      <c r="AD171" s="676">
        <f t="shared" si="9"/>
        <v>0</v>
      </c>
      <c r="AE171" s="829">
        <f t="shared" si="8"/>
        <v>0</v>
      </c>
      <c r="AF171" s="830" t="str">
        <f>IFERROR(INDEX(Reit!$I:$I,MATCH(AE171,Reit!$F:$F,0)),"")</f>
        <v/>
      </c>
      <c r="AG171" s="652"/>
    </row>
    <row r="172" spans="1:33" hidden="1" x14ac:dyDescent="0.2">
      <c r="A172" s="652"/>
      <c r="B172" s="652"/>
      <c r="C172" s="652"/>
      <c r="D172" s="652"/>
      <c r="E172" s="652"/>
      <c r="F172" s="652"/>
      <c r="G172" s="652"/>
      <c r="H172" s="652"/>
      <c r="I172" s="652"/>
      <c r="J172" s="652"/>
      <c r="K172" s="652"/>
      <c r="L172" s="652"/>
      <c r="M172" s="652"/>
      <c r="N172" s="652"/>
      <c r="O172" s="652"/>
      <c r="P172" s="652"/>
      <c r="Q172" s="652"/>
      <c r="R172" s="652"/>
      <c r="S172" s="652"/>
      <c r="T172" s="652"/>
      <c r="U172" s="652"/>
      <c r="V172" s="652"/>
      <c r="W172" s="652"/>
      <c r="X172" s="652"/>
      <c r="Y172" s="652"/>
      <c r="Z172" s="652"/>
      <c r="AA172" s="652"/>
      <c r="AB172" s="652"/>
      <c r="AC172" s="652"/>
      <c r="AD172" s="676">
        <f t="shared" si="9"/>
        <v>0</v>
      </c>
      <c r="AE172" s="829">
        <f t="shared" si="8"/>
        <v>0</v>
      </c>
      <c r="AF172" s="830" t="str">
        <f>IFERROR(INDEX(Reit!$I:$I,MATCH(AE172,Reit!$F:$F,0)),"")</f>
        <v/>
      </c>
      <c r="AG172" s="652"/>
    </row>
    <row r="173" spans="1:33" hidden="1" x14ac:dyDescent="0.2">
      <c r="A173" s="652"/>
      <c r="B173" s="652"/>
      <c r="C173" s="652"/>
      <c r="D173" s="652"/>
      <c r="E173" s="652"/>
      <c r="F173" s="652"/>
      <c r="G173" s="652"/>
      <c r="H173" s="652"/>
      <c r="I173" s="652"/>
      <c r="J173" s="652"/>
      <c r="K173" s="652"/>
      <c r="L173" s="652"/>
      <c r="M173" s="652"/>
      <c r="N173" s="652"/>
      <c r="O173" s="652"/>
      <c r="P173" s="652"/>
      <c r="Q173" s="652"/>
      <c r="R173" s="652"/>
      <c r="S173" s="652"/>
      <c r="T173" s="652"/>
      <c r="U173" s="652"/>
      <c r="V173" s="652"/>
      <c r="W173" s="652"/>
      <c r="X173" s="652"/>
      <c r="Y173" s="652"/>
      <c r="Z173" s="652"/>
      <c r="AA173" s="652"/>
      <c r="AB173" s="652"/>
      <c r="AC173" s="652"/>
      <c r="AD173" s="676">
        <f t="shared" si="9"/>
        <v>0</v>
      </c>
      <c r="AE173" s="829">
        <f t="shared" si="8"/>
        <v>0</v>
      </c>
      <c r="AF173" s="830" t="str">
        <f>IFERROR(INDEX(Reit!$I:$I,MATCH(AE173,Reit!$F:$F,0)),"")</f>
        <v/>
      </c>
      <c r="AG173" s="652"/>
    </row>
    <row r="174" spans="1:33"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76">
        <f t="shared" si="9"/>
        <v>0</v>
      </c>
      <c r="AE174" s="829">
        <f t="shared" si="8"/>
        <v>0</v>
      </c>
      <c r="AF174" s="830" t="str">
        <f>IFERROR(INDEX(Reit!$I:$I,MATCH(AE174,Reit!$F:$F,0)),"")</f>
        <v/>
      </c>
      <c r="AG174" s="652"/>
    </row>
    <row r="175" spans="1:33"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76">
        <f t="shared" si="9"/>
        <v>0</v>
      </c>
      <c r="AE175" s="829">
        <f t="shared" si="8"/>
        <v>0</v>
      </c>
      <c r="AF175" s="830" t="str">
        <f>IFERROR(INDEX(Reit!$I:$I,MATCH(AE175,Reit!$F:$F,0)),"")</f>
        <v/>
      </c>
      <c r="AG175" s="652"/>
    </row>
    <row r="176" spans="1:33"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76">
        <f t="shared" si="9"/>
        <v>0</v>
      </c>
      <c r="AE176" s="829">
        <f t="shared" si="8"/>
        <v>0</v>
      </c>
      <c r="AF176" s="830" t="str">
        <f>IFERROR(INDEX(Reit!$I:$I,MATCH(AE176,Reit!$F:$F,0)),"")</f>
        <v/>
      </c>
      <c r="AG176" s="652"/>
    </row>
    <row r="177" spans="1:33"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76">
        <f t="shared" si="9"/>
        <v>0</v>
      </c>
      <c r="AE177" s="829">
        <f t="shared" si="8"/>
        <v>0</v>
      </c>
      <c r="AF177" s="830" t="str">
        <f>IFERROR(INDEX(Reit!$I:$I,MATCH(AE177,Reit!$F:$F,0)),"")</f>
        <v/>
      </c>
      <c r="AG177" s="652"/>
    </row>
    <row r="178" spans="1:33"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76">
        <f t="shared" si="9"/>
        <v>0</v>
      </c>
      <c r="AE178" s="829">
        <f t="shared" si="8"/>
        <v>0</v>
      </c>
      <c r="AF178" s="830" t="str">
        <f>IFERROR(INDEX(Reit!$I:$I,MATCH(AE178,Reit!$F:$F,0)),"")</f>
        <v/>
      </c>
      <c r="AG178" s="652"/>
    </row>
    <row r="179" spans="1:33"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76">
        <f t="shared" si="9"/>
        <v>0</v>
      </c>
      <c r="AE179" s="829">
        <f t="shared" si="8"/>
        <v>0</v>
      </c>
      <c r="AF179" s="830" t="str">
        <f>IFERROR(INDEX(Reit!$I:$I,MATCH(AE179,Reit!$F:$F,0)),"")</f>
        <v/>
      </c>
      <c r="AG179" s="652"/>
    </row>
    <row r="180" spans="1:33"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76">
        <f t="shared" si="9"/>
        <v>0</v>
      </c>
      <c r="AE180" s="829">
        <f t="shared" si="8"/>
        <v>0</v>
      </c>
      <c r="AF180" s="830" t="str">
        <f>IFERROR(INDEX(Reit!$I:$I,MATCH(AE180,Reit!$F:$F,0)),"")</f>
        <v/>
      </c>
      <c r="AG180" s="652"/>
    </row>
    <row r="181" spans="1:33"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76">
        <f t="shared" si="9"/>
        <v>0</v>
      </c>
      <c r="AE181" s="829">
        <f t="shared" si="8"/>
        <v>0</v>
      </c>
      <c r="AF181" s="830" t="str">
        <f>IFERROR(INDEX(Reit!$I:$I,MATCH(AE181,Reit!$F:$F,0)),"")</f>
        <v/>
      </c>
      <c r="AG181" s="652"/>
    </row>
    <row r="182" spans="1:33"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76">
        <f t="shared" si="9"/>
        <v>0</v>
      </c>
      <c r="AE182" s="829">
        <f t="shared" si="8"/>
        <v>0</v>
      </c>
      <c r="AF182" s="830" t="str">
        <f>IFERROR(INDEX(Reit!$I:$I,MATCH(AE182,Reit!$F:$F,0)),"")</f>
        <v/>
      </c>
      <c r="AG182" s="652"/>
    </row>
    <row r="183" spans="1:33"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76">
        <f t="shared" si="9"/>
        <v>0</v>
      </c>
      <c r="AE183" s="829">
        <f t="shared" si="8"/>
        <v>0</v>
      </c>
      <c r="AF183" s="830" t="str">
        <f>IFERROR(INDEX(Reit!$I:$I,MATCH(AE183,Reit!$F:$F,0)),"")</f>
        <v/>
      </c>
      <c r="AG183" s="652"/>
    </row>
    <row r="184" spans="1:33"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76">
        <f t="shared" si="9"/>
        <v>0</v>
      </c>
      <c r="AE184" s="829">
        <f t="shared" si="8"/>
        <v>0</v>
      </c>
      <c r="AF184" s="830" t="str">
        <f>IFERROR(INDEX(Reit!$I:$I,MATCH(AE184,Reit!$F:$F,0)),"")</f>
        <v/>
      </c>
      <c r="AG184" s="652"/>
    </row>
    <row r="185" spans="1:33"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76">
        <f t="shared" si="9"/>
        <v>0</v>
      </c>
      <c r="AE185" s="829">
        <f t="shared" si="8"/>
        <v>0</v>
      </c>
      <c r="AF185" s="830" t="str">
        <f>IFERROR(INDEX(Reit!$I:$I,MATCH(AE185,Reit!$F:$F,0)),"")</f>
        <v/>
      </c>
      <c r="AG185" s="652"/>
    </row>
    <row r="186" spans="1:33"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76">
        <f t="shared" si="9"/>
        <v>0</v>
      </c>
      <c r="AE186" s="829">
        <f t="shared" si="8"/>
        <v>0</v>
      </c>
      <c r="AF186" s="830" t="str">
        <f>IFERROR(INDEX(Reit!$I:$I,MATCH(AE186,Reit!$F:$F,0)),"")</f>
        <v/>
      </c>
      <c r="AG186" s="652"/>
    </row>
    <row r="187" spans="1:33"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76">
        <f t="shared" si="9"/>
        <v>0</v>
      </c>
      <c r="AE187" s="829">
        <f t="shared" si="8"/>
        <v>0</v>
      </c>
      <c r="AF187" s="830" t="str">
        <f>IFERROR(INDEX(Reit!$I:$I,MATCH(AE187,Reit!$F:$F,0)),"")</f>
        <v/>
      </c>
      <c r="AG187" s="652"/>
    </row>
    <row r="188" spans="1:33"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76">
        <f t="shared" si="9"/>
        <v>0</v>
      </c>
      <c r="AE188" s="829">
        <f t="shared" si="8"/>
        <v>0</v>
      </c>
      <c r="AF188" s="830" t="str">
        <f>IFERROR(INDEX(Reit!$I:$I,MATCH(AE188,Reit!$F:$F,0)),"")</f>
        <v/>
      </c>
      <c r="AG188" s="652"/>
    </row>
    <row r="189" spans="1:33"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76">
        <f t="shared" si="9"/>
        <v>0</v>
      </c>
      <c r="AE189" s="829">
        <f t="shared" si="8"/>
        <v>0</v>
      </c>
      <c r="AF189" s="830" t="str">
        <f>IFERROR(INDEX(Reit!$I:$I,MATCH(AE189,Reit!$F:$F,0)),"")</f>
        <v/>
      </c>
      <c r="AG189" s="652"/>
    </row>
    <row r="190" spans="1:33"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76">
        <f t="shared" si="9"/>
        <v>0</v>
      </c>
      <c r="AE190" s="829">
        <f t="shared" si="8"/>
        <v>0</v>
      </c>
      <c r="AF190" s="830" t="str">
        <f>IFERROR(INDEX(Reit!$I:$I,MATCH(AE190,Reit!$F:$F,0)),"")</f>
        <v/>
      </c>
      <c r="AG190" s="652"/>
    </row>
    <row r="191" spans="1:33"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76">
        <f t="shared" si="9"/>
        <v>0</v>
      </c>
      <c r="AE191" s="829">
        <f t="shared" si="8"/>
        <v>0</v>
      </c>
      <c r="AF191" s="830" t="str">
        <f>IFERROR(INDEX(Reit!$I:$I,MATCH(AE191,Reit!$F:$F,0)),"")</f>
        <v/>
      </c>
      <c r="AG191" s="652"/>
    </row>
    <row r="192" spans="1:33"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76">
        <f t="shared" si="9"/>
        <v>0</v>
      </c>
      <c r="AE192" s="829">
        <f t="shared" si="8"/>
        <v>0</v>
      </c>
      <c r="AF192" s="830" t="str">
        <f>IFERROR(INDEX(Reit!$I:$I,MATCH(AE192,Reit!$F:$F,0)),"")</f>
        <v/>
      </c>
      <c r="AG192" s="652"/>
    </row>
    <row r="193" spans="1:33"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76">
        <f t="shared" si="9"/>
        <v>0</v>
      </c>
      <c r="AE193" s="829">
        <f t="shared" si="8"/>
        <v>0</v>
      </c>
      <c r="AF193" s="830" t="str">
        <f>IFERROR(INDEX(Reit!$I:$I,MATCH(AE193,Reit!$F:$F,0)),"")</f>
        <v/>
      </c>
      <c r="AG193" s="652"/>
    </row>
    <row r="194" spans="1:33"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76">
        <f t="shared" si="9"/>
        <v>0</v>
      </c>
      <c r="AE194" s="829">
        <f t="shared" si="8"/>
        <v>0</v>
      </c>
      <c r="AF194" s="830" t="str">
        <f>IFERROR(INDEX(Reit!$I:$I,MATCH(AE194,Reit!$F:$F,0)),"")</f>
        <v/>
      </c>
      <c r="AG194" s="652"/>
    </row>
    <row r="195" spans="1:33"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76">
        <f t="shared" si="9"/>
        <v>0</v>
      </c>
      <c r="AE195" s="829">
        <f t="shared" si="8"/>
        <v>0</v>
      </c>
      <c r="AF195" s="830" t="str">
        <f>IFERROR(INDEX(Reit!$I:$I,MATCH(AE195,Reit!$F:$F,0)),"")</f>
        <v/>
      </c>
      <c r="AG195" s="652"/>
    </row>
    <row r="196" spans="1:33"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76">
        <f t="shared" si="9"/>
        <v>0</v>
      </c>
      <c r="AE196" s="829">
        <f t="shared" si="8"/>
        <v>0</v>
      </c>
      <c r="AF196" s="830" t="str">
        <f>IFERROR(INDEX(Reit!$I:$I,MATCH(AE196,Reit!$F:$F,0)),"")</f>
        <v/>
      </c>
      <c r="AG196" s="652"/>
    </row>
    <row r="197" spans="1:33"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76">
        <f t="shared" si="9"/>
        <v>0</v>
      </c>
      <c r="AE197" s="829">
        <f t="shared" si="8"/>
        <v>0</v>
      </c>
      <c r="AF197" s="830" t="str">
        <f>IFERROR(INDEX(Reit!$I:$I,MATCH(AE197,Reit!$F:$F,0)),"")</f>
        <v/>
      </c>
      <c r="AG197" s="652"/>
    </row>
    <row r="198" spans="1:33"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76">
        <f t="shared" si="9"/>
        <v>0</v>
      </c>
      <c r="AE198" s="829">
        <f t="shared" si="8"/>
        <v>0</v>
      </c>
      <c r="AF198" s="830" t="str">
        <f>IFERROR(INDEX(Reit!$I:$I,MATCH(AE198,Reit!$F:$F,0)),"")</f>
        <v/>
      </c>
      <c r="AG198" s="652"/>
    </row>
    <row r="199" spans="1:33"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76">
        <f t="shared" si="9"/>
        <v>0</v>
      </c>
      <c r="AE199" s="829">
        <f t="shared" si="8"/>
        <v>0</v>
      </c>
      <c r="AF199" s="830" t="str">
        <f>IFERROR(INDEX(Reit!$I:$I,MATCH(AE199,Reit!$F:$F,0)),"")</f>
        <v/>
      </c>
      <c r="AG199" s="652"/>
    </row>
    <row r="200" spans="1:33"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76">
        <f t="shared" si="9"/>
        <v>0</v>
      </c>
      <c r="AE200" s="829">
        <f t="shared" ref="AE200:AE263" si="10">$B200</f>
        <v>0</v>
      </c>
      <c r="AF200" s="830" t="str">
        <f>IFERROR(INDEX(Reit!$I:$I,MATCH(AE200,Reit!$F:$F,0)),"")</f>
        <v/>
      </c>
      <c r="AG200" s="652"/>
    </row>
    <row r="201" spans="1:33"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76">
        <f t="shared" si="9"/>
        <v>0</v>
      </c>
      <c r="AE201" s="829">
        <f t="shared" si="10"/>
        <v>0</v>
      </c>
      <c r="AF201" s="830" t="str">
        <f>IFERROR(INDEX(Reit!$I:$I,MATCH(AE201,Reit!$F:$F,0)),"")</f>
        <v/>
      </c>
      <c r="AG201" s="652"/>
    </row>
    <row r="202" spans="1:33"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76">
        <f t="shared" si="9"/>
        <v>0</v>
      </c>
      <c r="AE202" s="829">
        <f t="shared" si="10"/>
        <v>0</v>
      </c>
      <c r="AF202" s="830" t="str">
        <f>IFERROR(INDEX(Reit!$I:$I,MATCH(AE202,Reit!$F:$F,0)),"")</f>
        <v/>
      </c>
      <c r="AG202" s="652"/>
    </row>
    <row r="203" spans="1:33"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76">
        <f t="shared" si="9"/>
        <v>0</v>
      </c>
      <c r="AE203" s="829">
        <f t="shared" si="10"/>
        <v>0</v>
      </c>
      <c r="AF203" s="830" t="str">
        <f>IFERROR(INDEX(Reit!$I:$I,MATCH(AE203,Reit!$F:$F,0)),"")</f>
        <v/>
      </c>
      <c r="AG203" s="652"/>
    </row>
    <row r="204" spans="1:33"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76">
        <f t="shared" ref="AD204:AD267" si="11">SUM(AF204:AF204)</f>
        <v>0</v>
      </c>
      <c r="AE204" s="829">
        <f t="shared" si="10"/>
        <v>0</v>
      </c>
      <c r="AF204" s="830" t="str">
        <f>IFERROR(INDEX(Reit!$I:$I,MATCH(AE204,Reit!$F:$F,0)),"")</f>
        <v/>
      </c>
      <c r="AG204" s="652"/>
    </row>
    <row r="205" spans="1:33"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76">
        <f t="shared" si="11"/>
        <v>0</v>
      </c>
      <c r="AE205" s="829">
        <f t="shared" si="10"/>
        <v>0</v>
      </c>
      <c r="AF205" s="830" t="str">
        <f>IFERROR(INDEX(Reit!$I:$I,MATCH(AE205,Reit!$F:$F,0)),"")</f>
        <v/>
      </c>
      <c r="AG205" s="652"/>
    </row>
    <row r="206" spans="1:33"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76">
        <f t="shared" si="11"/>
        <v>0</v>
      </c>
      <c r="AE206" s="829">
        <f t="shared" si="10"/>
        <v>0</v>
      </c>
      <c r="AF206" s="830" t="str">
        <f>IFERROR(INDEX(Reit!$I:$I,MATCH(AE206,Reit!$F:$F,0)),"")</f>
        <v/>
      </c>
      <c r="AG206" s="652"/>
    </row>
    <row r="207" spans="1:33"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76">
        <f t="shared" si="11"/>
        <v>0</v>
      </c>
      <c r="AE207" s="829">
        <f t="shared" si="10"/>
        <v>0</v>
      </c>
      <c r="AF207" s="830" t="str">
        <f>IFERROR(INDEX(Reit!$I:$I,MATCH(AE207,Reit!$F:$F,0)),"")</f>
        <v/>
      </c>
      <c r="AG207" s="652"/>
    </row>
    <row r="208" spans="1:33"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76">
        <f t="shared" si="11"/>
        <v>0</v>
      </c>
      <c r="AE208" s="829">
        <f t="shared" si="10"/>
        <v>0</v>
      </c>
      <c r="AF208" s="830" t="str">
        <f>IFERROR(INDEX(Reit!$I:$I,MATCH(AE208,Reit!$F:$F,0)),"")</f>
        <v/>
      </c>
      <c r="AG208" s="652"/>
    </row>
    <row r="209" spans="1:33"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76">
        <f t="shared" si="11"/>
        <v>0</v>
      </c>
      <c r="AE209" s="829">
        <f t="shared" si="10"/>
        <v>0</v>
      </c>
      <c r="AF209" s="830" t="str">
        <f>IFERROR(INDEX(Reit!$I:$I,MATCH(AE209,Reit!$F:$F,0)),"")</f>
        <v/>
      </c>
      <c r="AG209" s="652"/>
    </row>
    <row r="210" spans="1:33"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76">
        <f t="shared" si="11"/>
        <v>0</v>
      </c>
      <c r="AE210" s="829">
        <f t="shared" si="10"/>
        <v>0</v>
      </c>
      <c r="AF210" s="830" t="str">
        <f>IFERROR(INDEX(Reit!$I:$I,MATCH(AE210,Reit!$F:$F,0)),"")</f>
        <v/>
      </c>
      <c r="AG210" s="652"/>
    </row>
    <row r="211" spans="1:33"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76">
        <f t="shared" si="11"/>
        <v>0</v>
      </c>
      <c r="AE211" s="829">
        <f t="shared" si="10"/>
        <v>0</v>
      </c>
      <c r="AF211" s="830" t="str">
        <f>IFERROR(INDEX(Reit!$I:$I,MATCH(AE211,Reit!$F:$F,0)),"")</f>
        <v/>
      </c>
      <c r="AG211" s="652"/>
    </row>
    <row r="212" spans="1:33"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76">
        <f t="shared" si="11"/>
        <v>0</v>
      </c>
      <c r="AE212" s="829">
        <f t="shared" si="10"/>
        <v>0</v>
      </c>
      <c r="AF212" s="830" t="str">
        <f>IFERROR(INDEX(Reit!$I:$I,MATCH(AE212,Reit!$F:$F,0)),"")</f>
        <v/>
      </c>
      <c r="AG212" s="652"/>
    </row>
    <row r="213" spans="1:33"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76">
        <f t="shared" si="11"/>
        <v>0</v>
      </c>
      <c r="AE213" s="829">
        <f t="shared" si="10"/>
        <v>0</v>
      </c>
      <c r="AF213" s="830" t="str">
        <f>IFERROR(INDEX(Reit!$I:$I,MATCH(AE213,Reit!$F:$F,0)),"")</f>
        <v/>
      </c>
      <c r="AG213" s="652"/>
    </row>
    <row r="214" spans="1:33"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76">
        <f t="shared" si="11"/>
        <v>0</v>
      </c>
      <c r="AE214" s="829">
        <f t="shared" si="10"/>
        <v>0</v>
      </c>
      <c r="AF214" s="830" t="str">
        <f>IFERROR(INDEX(Reit!$I:$I,MATCH(AE214,Reit!$F:$F,0)),"")</f>
        <v/>
      </c>
      <c r="AG214" s="652"/>
    </row>
    <row r="215" spans="1:33"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76">
        <f t="shared" si="11"/>
        <v>0</v>
      </c>
      <c r="AE215" s="829">
        <f t="shared" si="10"/>
        <v>0</v>
      </c>
      <c r="AF215" s="830" t="str">
        <f>IFERROR(INDEX(Reit!$I:$I,MATCH(AE215,Reit!$F:$F,0)),"")</f>
        <v/>
      </c>
      <c r="AG215" s="652"/>
    </row>
    <row r="216" spans="1:33"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76">
        <f t="shared" si="11"/>
        <v>0</v>
      </c>
      <c r="AE216" s="829">
        <f t="shared" si="10"/>
        <v>0</v>
      </c>
      <c r="AF216" s="830" t="str">
        <f>IFERROR(INDEX(Reit!$I:$I,MATCH(AE216,Reit!$F:$F,0)),"")</f>
        <v/>
      </c>
      <c r="AG216" s="652"/>
    </row>
    <row r="217" spans="1:33"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76">
        <f t="shared" si="11"/>
        <v>0</v>
      </c>
      <c r="AE217" s="829">
        <f t="shared" si="10"/>
        <v>0</v>
      </c>
      <c r="AF217" s="830" t="str">
        <f>IFERROR(INDEX(Reit!$I:$I,MATCH(AE217,Reit!$F:$F,0)),"")</f>
        <v/>
      </c>
      <c r="AG217" s="652"/>
    </row>
    <row r="218" spans="1:33"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76">
        <f t="shared" si="11"/>
        <v>0</v>
      </c>
      <c r="AE218" s="829">
        <f t="shared" si="10"/>
        <v>0</v>
      </c>
      <c r="AF218" s="830" t="str">
        <f>IFERROR(INDEX(Reit!$I:$I,MATCH(AE218,Reit!$F:$F,0)),"")</f>
        <v/>
      </c>
      <c r="AG218" s="652"/>
    </row>
    <row r="219" spans="1:33"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76">
        <f t="shared" si="11"/>
        <v>0</v>
      </c>
      <c r="AE219" s="829">
        <f t="shared" si="10"/>
        <v>0</v>
      </c>
      <c r="AF219" s="830" t="str">
        <f>IFERROR(INDEX(Reit!$I:$I,MATCH(AE219,Reit!$F:$F,0)),"")</f>
        <v/>
      </c>
      <c r="AG219" s="652"/>
    </row>
    <row r="220" spans="1:33"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76">
        <f t="shared" si="11"/>
        <v>0</v>
      </c>
      <c r="AE220" s="829">
        <f t="shared" si="10"/>
        <v>0</v>
      </c>
      <c r="AF220" s="830" t="str">
        <f>IFERROR(INDEX(Reit!$I:$I,MATCH(AE220,Reit!$F:$F,0)),"")</f>
        <v/>
      </c>
      <c r="AG220" s="652"/>
    </row>
    <row r="221" spans="1:33"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76">
        <f t="shared" si="11"/>
        <v>0</v>
      </c>
      <c r="AE221" s="829">
        <f t="shared" si="10"/>
        <v>0</v>
      </c>
      <c r="AF221" s="830" t="str">
        <f>IFERROR(INDEX(Reit!$I:$I,MATCH(AE221,Reit!$F:$F,0)),"")</f>
        <v/>
      </c>
      <c r="AG221" s="652"/>
    </row>
    <row r="222" spans="1:33"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76">
        <f t="shared" si="11"/>
        <v>0</v>
      </c>
      <c r="AE222" s="829">
        <f t="shared" si="10"/>
        <v>0</v>
      </c>
      <c r="AF222" s="830" t="str">
        <f>IFERROR(INDEX(Reit!$I:$I,MATCH(AE222,Reit!$F:$F,0)),"")</f>
        <v/>
      </c>
      <c r="AG222" s="652"/>
    </row>
    <row r="223" spans="1:33"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76">
        <f t="shared" si="11"/>
        <v>0</v>
      </c>
      <c r="AE223" s="829">
        <f t="shared" si="10"/>
        <v>0</v>
      </c>
      <c r="AF223" s="830" t="str">
        <f>IFERROR(INDEX(Reit!$I:$I,MATCH(AE223,Reit!$F:$F,0)),"")</f>
        <v/>
      </c>
      <c r="AG223" s="652"/>
    </row>
    <row r="224" spans="1:33"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76">
        <f t="shared" si="11"/>
        <v>0</v>
      </c>
      <c r="AE224" s="829">
        <f t="shared" si="10"/>
        <v>0</v>
      </c>
      <c r="AF224" s="830" t="str">
        <f>IFERROR(INDEX(Reit!$I:$I,MATCH(AE224,Reit!$F:$F,0)),"")</f>
        <v/>
      </c>
      <c r="AG224" s="652"/>
    </row>
    <row r="225" spans="1:33"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76">
        <f t="shared" si="11"/>
        <v>0</v>
      </c>
      <c r="AE225" s="829">
        <f t="shared" si="10"/>
        <v>0</v>
      </c>
      <c r="AF225" s="830" t="str">
        <f>IFERROR(INDEX(Reit!$I:$I,MATCH(AE225,Reit!$F:$F,0)),"")</f>
        <v/>
      </c>
      <c r="AG225" s="652"/>
    </row>
    <row r="226" spans="1:33"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76">
        <f t="shared" si="11"/>
        <v>0</v>
      </c>
      <c r="AE226" s="829">
        <f t="shared" si="10"/>
        <v>0</v>
      </c>
      <c r="AF226" s="830" t="str">
        <f>IFERROR(INDEX(Reit!$I:$I,MATCH(AE226,Reit!$F:$F,0)),"")</f>
        <v/>
      </c>
      <c r="AG226" s="652"/>
    </row>
    <row r="227" spans="1:33"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76">
        <f t="shared" si="11"/>
        <v>0</v>
      </c>
      <c r="AE227" s="829">
        <f t="shared" si="10"/>
        <v>0</v>
      </c>
      <c r="AF227" s="830" t="str">
        <f>IFERROR(INDEX(Reit!$I:$I,MATCH(AE227,Reit!$F:$F,0)),"")</f>
        <v/>
      </c>
      <c r="AG227" s="652"/>
    </row>
    <row r="228" spans="1:33"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76">
        <f t="shared" si="11"/>
        <v>0</v>
      </c>
      <c r="AE228" s="829">
        <f t="shared" si="10"/>
        <v>0</v>
      </c>
      <c r="AF228" s="830" t="str">
        <f>IFERROR(INDEX(Reit!$I:$I,MATCH(AE228,Reit!$F:$F,0)),"")</f>
        <v/>
      </c>
      <c r="AG228" s="652"/>
    </row>
    <row r="229" spans="1:33"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76">
        <f t="shared" si="11"/>
        <v>0</v>
      </c>
      <c r="AE229" s="829">
        <f t="shared" si="10"/>
        <v>0</v>
      </c>
      <c r="AF229" s="830" t="str">
        <f>IFERROR(INDEX(Reit!$I:$I,MATCH(AE229,Reit!$F:$F,0)),"")</f>
        <v/>
      </c>
      <c r="AG229" s="652"/>
    </row>
    <row r="230" spans="1:33"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76">
        <f t="shared" si="11"/>
        <v>0</v>
      </c>
      <c r="AE230" s="829">
        <f t="shared" si="10"/>
        <v>0</v>
      </c>
      <c r="AF230" s="830" t="str">
        <f>IFERROR(INDEX(Reit!$I:$I,MATCH(AE230,Reit!$F:$F,0)),"")</f>
        <v/>
      </c>
      <c r="AG230" s="652"/>
    </row>
    <row r="231" spans="1:33"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76">
        <f t="shared" si="11"/>
        <v>0</v>
      </c>
      <c r="AE231" s="829">
        <f t="shared" si="10"/>
        <v>0</v>
      </c>
      <c r="AF231" s="830" t="str">
        <f>IFERROR(INDEX(Reit!$I:$I,MATCH(AE231,Reit!$F:$F,0)),"")</f>
        <v/>
      </c>
      <c r="AG231" s="652"/>
    </row>
    <row r="232" spans="1:33"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76">
        <f t="shared" si="11"/>
        <v>0</v>
      </c>
      <c r="AE232" s="829">
        <f t="shared" si="10"/>
        <v>0</v>
      </c>
      <c r="AF232" s="830" t="str">
        <f>IFERROR(INDEX(Reit!$I:$I,MATCH(AE232,Reit!$F:$F,0)),"")</f>
        <v/>
      </c>
      <c r="AG232" s="652"/>
    </row>
    <row r="233" spans="1:33"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76">
        <f t="shared" si="11"/>
        <v>0</v>
      </c>
      <c r="AE233" s="829">
        <f t="shared" si="10"/>
        <v>0</v>
      </c>
      <c r="AF233" s="830" t="str">
        <f>IFERROR(INDEX(Reit!$I:$I,MATCH(AE233,Reit!$F:$F,0)),"")</f>
        <v/>
      </c>
      <c r="AG233" s="652"/>
    </row>
    <row r="234" spans="1:33"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76">
        <f t="shared" si="11"/>
        <v>0</v>
      </c>
      <c r="AE234" s="829">
        <f t="shared" si="10"/>
        <v>0</v>
      </c>
      <c r="AF234" s="830" t="str">
        <f>IFERROR(INDEX(Reit!$I:$I,MATCH(AE234,Reit!$F:$F,0)),"")</f>
        <v/>
      </c>
      <c r="AG234" s="652"/>
    </row>
    <row r="235" spans="1:33"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76">
        <f t="shared" si="11"/>
        <v>0</v>
      </c>
      <c r="AE235" s="829">
        <f t="shared" si="10"/>
        <v>0</v>
      </c>
      <c r="AF235" s="830" t="str">
        <f>IFERROR(INDEX(Reit!$I:$I,MATCH(AE235,Reit!$F:$F,0)),"")</f>
        <v/>
      </c>
      <c r="AG235" s="652"/>
    </row>
    <row r="236" spans="1:33"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76">
        <f t="shared" si="11"/>
        <v>0</v>
      </c>
      <c r="AE236" s="829">
        <f t="shared" si="10"/>
        <v>0</v>
      </c>
      <c r="AF236" s="830" t="str">
        <f>IFERROR(INDEX(Reit!$I:$I,MATCH(AE236,Reit!$F:$F,0)),"")</f>
        <v/>
      </c>
      <c r="AG236" s="652"/>
    </row>
    <row r="237" spans="1:33"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76">
        <f t="shared" si="11"/>
        <v>0</v>
      </c>
      <c r="AE237" s="829">
        <f t="shared" si="10"/>
        <v>0</v>
      </c>
      <c r="AF237" s="830" t="str">
        <f>IFERROR(INDEX(Reit!$I:$I,MATCH(AE237,Reit!$F:$F,0)),"")</f>
        <v/>
      </c>
      <c r="AG237" s="652"/>
    </row>
    <row r="238" spans="1:33"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76">
        <f t="shared" si="11"/>
        <v>0</v>
      </c>
      <c r="AE238" s="829">
        <f t="shared" si="10"/>
        <v>0</v>
      </c>
      <c r="AF238" s="830" t="str">
        <f>IFERROR(INDEX(Reit!$I:$I,MATCH(AE238,Reit!$F:$F,0)),"")</f>
        <v/>
      </c>
      <c r="AG238" s="652"/>
    </row>
    <row r="239" spans="1:33"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76">
        <f t="shared" si="11"/>
        <v>0</v>
      </c>
      <c r="AE239" s="829">
        <f t="shared" si="10"/>
        <v>0</v>
      </c>
      <c r="AF239" s="830" t="str">
        <f>IFERROR(INDEX(Reit!$I:$I,MATCH(AE239,Reit!$F:$F,0)),"")</f>
        <v/>
      </c>
      <c r="AG239" s="652"/>
    </row>
    <row r="240" spans="1:33"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76">
        <f t="shared" si="11"/>
        <v>0</v>
      </c>
      <c r="AE240" s="829">
        <f t="shared" si="10"/>
        <v>0</v>
      </c>
      <c r="AF240" s="830" t="str">
        <f>IFERROR(INDEX(Reit!$I:$I,MATCH(AE240,Reit!$F:$F,0)),"")</f>
        <v/>
      </c>
      <c r="AG240" s="652"/>
    </row>
    <row r="241" spans="1:33"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76">
        <f t="shared" si="11"/>
        <v>0</v>
      </c>
      <c r="AE241" s="829">
        <f t="shared" si="10"/>
        <v>0</v>
      </c>
      <c r="AF241" s="830" t="str">
        <f>IFERROR(INDEX(Reit!$I:$I,MATCH(AE241,Reit!$F:$F,0)),"")</f>
        <v/>
      </c>
      <c r="AG241" s="652"/>
    </row>
    <row r="242" spans="1:33"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76">
        <f t="shared" si="11"/>
        <v>0</v>
      </c>
      <c r="AE242" s="829">
        <f t="shared" si="10"/>
        <v>0</v>
      </c>
      <c r="AF242" s="830" t="str">
        <f>IFERROR(INDEX(Reit!$I:$I,MATCH(AE242,Reit!$F:$F,0)),"")</f>
        <v/>
      </c>
      <c r="AG242" s="652"/>
    </row>
    <row r="243" spans="1:33"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76">
        <f t="shared" si="11"/>
        <v>0</v>
      </c>
      <c r="AE243" s="829">
        <f t="shared" si="10"/>
        <v>0</v>
      </c>
      <c r="AF243" s="830" t="str">
        <f>IFERROR(INDEX(Reit!$I:$I,MATCH(AE243,Reit!$F:$F,0)),"")</f>
        <v/>
      </c>
      <c r="AG243" s="652"/>
    </row>
    <row r="244" spans="1:33"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76">
        <f t="shared" si="11"/>
        <v>0</v>
      </c>
      <c r="AE244" s="829">
        <f t="shared" si="10"/>
        <v>0</v>
      </c>
      <c r="AF244" s="830" t="str">
        <f>IFERROR(INDEX(Reit!$I:$I,MATCH(AE244,Reit!$F:$F,0)),"")</f>
        <v/>
      </c>
      <c r="AG244" s="652"/>
    </row>
    <row r="245" spans="1:33"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76">
        <f t="shared" si="11"/>
        <v>0</v>
      </c>
      <c r="AE245" s="829">
        <f t="shared" si="10"/>
        <v>0</v>
      </c>
      <c r="AF245" s="830" t="str">
        <f>IFERROR(INDEX(Reit!$I:$I,MATCH(AE245,Reit!$F:$F,0)),"")</f>
        <v/>
      </c>
      <c r="AG245" s="652"/>
    </row>
    <row r="246" spans="1:33"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76">
        <f t="shared" si="11"/>
        <v>0</v>
      </c>
      <c r="AE246" s="829">
        <f t="shared" si="10"/>
        <v>0</v>
      </c>
      <c r="AF246" s="830" t="str">
        <f>IFERROR(INDEX(Reit!$I:$I,MATCH(AE246,Reit!$F:$F,0)),"")</f>
        <v/>
      </c>
      <c r="AG246" s="652"/>
    </row>
    <row r="247" spans="1:33"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76">
        <f t="shared" si="11"/>
        <v>0</v>
      </c>
      <c r="AE247" s="829">
        <f t="shared" si="10"/>
        <v>0</v>
      </c>
      <c r="AF247" s="830" t="str">
        <f>IFERROR(INDEX(Reit!$I:$I,MATCH(AE247,Reit!$F:$F,0)),"")</f>
        <v/>
      </c>
      <c r="AG247" s="652"/>
    </row>
    <row r="248" spans="1:33"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76">
        <f t="shared" si="11"/>
        <v>0</v>
      </c>
      <c r="AE248" s="829">
        <f t="shared" si="10"/>
        <v>0</v>
      </c>
      <c r="AF248" s="830" t="str">
        <f>IFERROR(INDEX(Reit!$I:$I,MATCH(AE248,Reit!$F:$F,0)),"")</f>
        <v/>
      </c>
      <c r="AG248" s="652"/>
    </row>
    <row r="249" spans="1:33"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76">
        <f t="shared" si="11"/>
        <v>0</v>
      </c>
      <c r="AE249" s="829">
        <f t="shared" si="10"/>
        <v>0</v>
      </c>
      <c r="AF249" s="830" t="str">
        <f>IFERROR(INDEX(Reit!$I:$I,MATCH(AE249,Reit!$F:$F,0)),"")</f>
        <v/>
      </c>
      <c r="AG249" s="652"/>
    </row>
    <row r="250" spans="1:33"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76">
        <f t="shared" si="11"/>
        <v>0</v>
      </c>
      <c r="AE250" s="829">
        <f t="shared" si="10"/>
        <v>0</v>
      </c>
      <c r="AF250" s="830" t="str">
        <f>IFERROR(INDEX(Reit!$I:$I,MATCH(AE250,Reit!$F:$F,0)),"")</f>
        <v/>
      </c>
      <c r="AG250" s="652"/>
    </row>
    <row r="251" spans="1:33"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76">
        <f t="shared" si="11"/>
        <v>0</v>
      </c>
      <c r="AE251" s="829">
        <f t="shared" si="10"/>
        <v>0</v>
      </c>
      <c r="AF251" s="830" t="str">
        <f>IFERROR(INDEX(Reit!$I:$I,MATCH(AE251,Reit!$F:$F,0)),"")</f>
        <v/>
      </c>
      <c r="AG251" s="652"/>
    </row>
    <row r="252" spans="1:33"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76">
        <f t="shared" si="11"/>
        <v>0</v>
      </c>
      <c r="AE252" s="829">
        <f t="shared" si="10"/>
        <v>0</v>
      </c>
      <c r="AF252" s="830" t="str">
        <f>IFERROR(INDEX(Reit!$I:$I,MATCH(AE252,Reit!$F:$F,0)),"")</f>
        <v/>
      </c>
      <c r="AG252" s="652"/>
    </row>
    <row r="253" spans="1:33"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76">
        <f t="shared" si="11"/>
        <v>0</v>
      </c>
      <c r="AE253" s="829">
        <f t="shared" si="10"/>
        <v>0</v>
      </c>
      <c r="AF253" s="830" t="str">
        <f>IFERROR(INDEX(Reit!$I:$I,MATCH(AE253,Reit!$F:$F,0)),"")</f>
        <v/>
      </c>
      <c r="AG253" s="652"/>
    </row>
    <row r="254" spans="1:33"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76">
        <f t="shared" si="11"/>
        <v>0</v>
      </c>
      <c r="AE254" s="829">
        <f t="shared" si="10"/>
        <v>0</v>
      </c>
      <c r="AF254" s="830" t="str">
        <f>IFERROR(INDEX(Reit!$I:$I,MATCH(AE254,Reit!$F:$F,0)),"")</f>
        <v/>
      </c>
      <c r="AG254" s="652"/>
    </row>
    <row r="255" spans="1:33"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76">
        <f t="shared" si="11"/>
        <v>0</v>
      </c>
      <c r="AE255" s="829">
        <f t="shared" si="10"/>
        <v>0</v>
      </c>
      <c r="AF255" s="830" t="str">
        <f>IFERROR(INDEX(Reit!$I:$I,MATCH(AE255,Reit!$F:$F,0)),"")</f>
        <v/>
      </c>
      <c r="AG255" s="652"/>
    </row>
    <row r="256" spans="1:33"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76">
        <f t="shared" si="11"/>
        <v>0</v>
      </c>
      <c r="AE256" s="829">
        <f t="shared" si="10"/>
        <v>0</v>
      </c>
      <c r="AF256" s="830" t="str">
        <f>IFERROR(INDEX(Reit!$I:$I,MATCH(AE256,Reit!$F:$F,0)),"")</f>
        <v/>
      </c>
      <c r="AG256" s="652"/>
    </row>
    <row r="257" spans="1:33"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76">
        <f t="shared" si="11"/>
        <v>0</v>
      </c>
      <c r="AE257" s="829">
        <f t="shared" si="10"/>
        <v>0</v>
      </c>
      <c r="AF257" s="830" t="str">
        <f>IFERROR(INDEX(Reit!$I:$I,MATCH(AE257,Reit!$F:$F,0)),"")</f>
        <v/>
      </c>
      <c r="AG257" s="652"/>
    </row>
    <row r="258" spans="1:33"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76">
        <f t="shared" si="11"/>
        <v>0</v>
      </c>
      <c r="AE258" s="829">
        <f t="shared" si="10"/>
        <v>0</v>
      </c>
      <c r="AF258" s="830" t="str">
        <f>IFERROR(INDEX(Reit!$I:$I,MATCH(AE258,Reit!$F:$F,0)),"")</f>
        <v/>
      </c>
      <c r="AG258" s="652"/>
    </row>
    <row r="259" spans="1:33"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76">
        <f t="shared" si="11"/>
        <v>0</v>
      </c>
      <c r="AE259" s="829">
        <f t="shared" si="10"/>
        <v>0</v>
      </c>
      <c r="AF259" s="830" t="str">
        <f>IFERROR(INDEX(Reit!$I:$I,MATCH(AE259,Reit!$F:$F,0)),"")</f>
        <v/>
      </c>
      <c r="AG259" s="652"/>
    </row>
    <row r="260" spans="1:33"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76">
        <f t="shared" si="11"/>
        <v>0</v>
      </c>
      <c r="AE260" s="829">
        <f t="shared" si="10"/>
        <v>0</v>
      </c>
      <c r="AF260" s="830" t="str">
        <f>IFERROR(INDEX(Reit!$I:$I,MATCH(AE260,Reit!$F:$F,0)),"")</f>
        <v/>
      </c>
      <c r="AG260" s="652"/>
    </row>
    <row r="261" spans="1:33"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76">
        <f t="shared" si="11"/>
        <v>0</v>
      </c>
      <c r="AE261" s="829">
        <f t="shared" si="10"/>
        <v>0</v>
      </c>
      <c r="AF261" s="830" t="str">
        <f>IFERROR(INDEX(Reit!$I:$I,MATCH(AE261,Reit!$F:$F,0)),"")</f>
        <v/>
      </c>
      <c r="AG261" s="652"/>
    </row>
    <row r="262" spans="1:33"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76">
        <f t="shared" si="11"/>
        <v>0</v>
      </c>
      <c r="AE262" s="829">
        <f t="shared" si="10"/>
        <v>0</v>
      </c>
      <c r="AF262" s="830" t="str">
        <f>IFERROR(INDEX(Reit!$I:$I,MATCH(AE262,Reit!$F:$F,0)),"")</f>
        <v/>
      </c>
      <c r="AG262" s="652"/>
    </row>
    <row r="263" spans="1:33"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76">
        <f t="shared" si="11"/>
        <v>0</v>
      </c>
      <c r="AE263" s="829">
        <f t="shared" si="10"/>
        <v>0</v>
      </c>
      <c r="AF263" s="830" t="str">
        <f>IFERROR(INDEX(Reit!$I:$I,MATCH(AE263,Reit!$F:$F,0)),"")</f>
        <v/>
      </c>
      <c r="AG263" s="652"/>
    </row>
    <row r="264" spans="1:33"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76">
        <f t="shared" si="11"/>
        <v>0</v>
      </c>
      <c r="AE264" s="829">
        <f t="shared" ref="AE264:AE297" si="12">$B264</f>
        <v>0</v>
      </c>
      <c r="AF264" s="830" t="str">
        <f>IFERROR(INDEX(Reit!$I:$I,MATCH(AE264,Reit!$F:$F,0)),"")</f>
        <v/>
      </c>
      <c r="AG264" s="652"/>
    </row>
    <row r="265" spans="1:33"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76">
        <f t="shared" si="11"/>
        <v>0</v>
      </c>
      <c r="AE265" s="829">
        <f t="shared" si="12"/>
        <v>0</v>
      </c>
      <c r="AF265" s="830" t="str">
        <f>IFERROR(INDEX(Reit!$I:$I,MATCH(AE265,Reit!$F:$F,0)),"")</f>
        <v/>
      </c>
      <c r="AG265" s="652"/>
    </row>
    <row r="266" spans="1:33"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76">
        <f t="shared" si="11"/>
        <v>0</v>
      </c>
      <c r="AE266" s="829">
        <f t="shared" si="12"/>
        <v>0</v>
      </c>
      <c r="AF266" s="830" t="str">
        <f>IFERROR(INDEX(Reit!$I:$I,MATCH(AE266,Reit!$F:$F,0)),"")</f>
        <v/>
      </c>
      <c r="AG266" s="652"/>
    </row>
    <row r="267" spans="1:33"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76">
        <f t="shared" si="11"/>
        <v>0</v>
      </c>
      <c r="AE267" s="829">
        <f t="shared" si="12"/>
        <v>0</v>
      </c>
      <c r="AF267" s="830" t="str">
        <f>IFERROR(INDEX(Reit!$I:$I,MATCH(AE267,Reit!$F:$F,0)),"")</f>
        <v/>
      </c>
      <c r="AG267" s="652"/>
    </row>
    <row r="268" spans="1:33"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76">
        <f t="shared" ref="AD268:AD297" si="13">SUM(AF268:AF268)</f>
        <v>0</v>
      </c>
      <c r="AE268" s="829">
        <f t="shared" si="12"/>
        <v>0</v>
      </c>
      <c r="AF268" s="830" t="str">
        <f>IFERROR(INDEX(Reit!$I:$I,MATCH(AE268,Reit!$F:$F,0)),"")</f>
        <v/>
      </c>
      <c r="AG268" s="652"/>
    </row>
    <row r="269" spans="1:33"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76">
        <f t="shared" si="13"/>
        <v>0</v>
      </c>
      <c r="AE269" s="829">
        <f t="shared" si="12"/>
        <v>0</v>
      </c>
      <c r="AF269" s="830" t="str">
        <f>IFERROR(INDEX(Reit!$I:$I,MATCH(AE269,Reit!$F:$F,0)),"")</f>
        <v/>
      </c>
      <c r="AG269" s="652"/>
    </row>
    <row r="270" spans="1:33"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76">
        <f t="shared" si="13"/>
        <v>0</v>
      </c>
      <c r="AE270" s="829">
        <f t="shared" si="12"/>
        <v>0</v>
      </c>
      <c r="AF270" s="830" t="str">
        <f>IFERROR(INDEX(Reit!$I:$I,MATCH(AE270,Reit!$F:$F,0)),"")</f>
        <v/>
      </c>
      <c r="AG270" s="652"/>
    </row>
    <row r="271" spans="1:33"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76">
        <f t="shared" si="13"/>
        <v>0</v>
      </c>
      <c r="AE271" s="829">
        <f t="shared" si="12"/>
        <v>0</v>
      </c>
      <c r="AF271" s="830" t="str">
        <f>IFERROR(INDEX(Reit!$I:$I,MATCH(AE271,Reit!$F:$F,0)),"")</f>
        <v/>
      </c>
      <c r="AG271" s="652"/>
    </row>
    <row r="272" spans="1:33"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76">
        <f t="shared" si="13"/>
        <v>0</v>
      </c>
      <c r="AE272" s="829">
        <f t="shared" si="12"/>
        <v>0</v>
      </c>
      <c r="AF272" s="830" t="str">
        <f>IFERROR(INDEX(Reit!$I:$I,MATCH(AE272,Reit!$F:$F,0)),"")</f>
        <v/>
      </c>
      <c r="AG272" s="652"/>
    </row>
    <row r="273" spans="1:33"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76">
        <f t="shared" si="13"/>
        <v>0</v>
      </c>
      <c r="AE273" s="829">
        <f t="shared" si="12"/>
        <v>0</v>
      </c>
      <c r="AF273" s="830" t="str">
        <f>IFERROR(INDEX(Reit!$I:$I,MATCH(AE273,Reit!$F:$F,0)),"")</f>
        <v/>
      </c>
      <c r="AG273" s="652"/>
    </row>
    <row r="274" spans="1:33"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76">
        <f t="shared" si="13"/>
        <v>0</v>
      </c>
      <c r="AE274" s="829">
        <f t="shared" si="12"/>
        <v>0</v>
      </c>
      <c r="AF274" s="830" t="str">
        <f>IFERROR(INDEX(Reit!$I:$I,MATCH(AE274,Reit!$F:$F,0)),"")</f>
        <v/>
      </c>
      <c r="AG274" s="652"/>
    </row>
    <row r="275" spans="1:33"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76">
        <f t="shared" si="13"/>
        <v>0</v>
      </c>
      <c r="AE275" s="829">
        <f t="shared" si="12"/>
        <v>0</v>
      </c>
      <c r="AF275" s="830" t="str">
        <f>IFERROR(INDEX(Reit!$I:$I,MATCH(AE275,Reit!$F:$F,0)),"")</f>
        <v/>
      </c>
      <c r="AG275" s="652"/>
    </row>
    <row r="276" spans="1:33"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76">
        <f t="shared" si="13"/>
        <v>0</v>
      </c>
      <c r="AE276" s="829">
        <f t="shared" si="12"/>
        <v>0</v>
      </c>
      <c r="AF276" s="830" t="str">
        <f>IFERROR(INDEX(Reit!$I:$I,MATCH(AE276,Reit!$F:$F,0)),"")</f>
        <v/>
      </c>
      <c r="AG276" s="652"/>
    </row>
    <row r="277" spans="1:33"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76">
        <f t="shared" si="13"/>
        <v>0</v>
      </c>
      <c r="AE277" s="829">
        <f t="shared" si="12"/>
        <v>0</v>
      </c>
      <c r="AF277" s="830" t="str">
        <f>IFERROR(INDEX(Reit!$I:$I,MATCH(AE277,Reit!$F:$F,0)),"")</f>
        <v/>
      </c>
      <c r="AG277" s="652"/>
    </row>
    <row r="278" spans="1:33"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76">
        <f t="shared" si="13"/>
        <v>0</v>
      </c>
      <c r="AE278" s="829">
        <f t="shared" si="12"/>
        <v>0</v>
      </c>
      <c r="AF278" s="830" t="str">
        <f>IFERROR(INDEX(Reit!$I:$I,MATCH(AE278,Reit!$F:$F,0)),"")</f>
        <v/>
      </c>
      <c r="AG278" s="652"/>
    </row>
    <row r="279" spans="1:33"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76">
        <f t="shared" si="13"/>
        <v>0</v>
      </c>
      <c r="AE279" s="829">
        <f t="shared" si="12"/>
        <v>0</v>
      </c>
      <c r="AF279" s="830" t="str">
        <f>IFERROR(INDEX(Reit!$I:$I,MATCH(AE279,Reit!$F:$F,0)),"")</f>
        <v/>
      </c>
      <c r="AG279" s="652"/>
    </row>
    <row r="280" spans="1:33"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76">
        <f t="shared" si="13"/>
        <v>0</v>
      </c>
      <c r="AE280" s="829">
        <f t="shared" si="12"/>
        <v>0</v>
      </c>
      <c r="AF280" s="830" t="str">
        <f>IFERROR(INDEX(Reit!$I:$I,MATCH(AE280,Reit!$F:$F,0)),"")</f>
        <v/>
      </c>
      <c r="AG280" s="652"/>
    </row>
    <row r="281" spans="1:33"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76">
        <f t="shared" si="13"/>
        <v>0</v>
      </c>
      <c r="AE281" s="829">
        <f t="shared" si="12"/>
        <v>0</v>
      </c>
      <c r="AF281" s="830" t="str">
        <f>IFERROR(INDEX(Reit!$I:$I,MATCH(AE281,Reit!$F:$F,0)),"")</f>
        <v/>
      </c>
      <c r="AG281" s="652"/>
    </row>
    <row r="282" spans="1:33"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76">
        <f t="shared" si="13"/>
        <v>0</v>
      </c>
      <c r="AE282" s="829">
        <f t="shared" si="12"/>
        <v>0</v>
      </c>
      <c r="AF282" s="830" t="str">
        <f>IFERROR(INDEX(Reit!$I:$I,MATCH(AE282,Reit!$F:$F,0)),"")</f>
        <v/>
      </c>
      <c r="AG282" s="652"/>
    </row>
    <row r="283" spans="1:33"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76">
        <f t="shared" si="13"/>
        <v>0</v>
      </c>
      <c r="AE283" s="829">
        <f t="shared" si="12"/>
        <v>0</v>
      </c>
      <c r="AF283" s="830" t="str">
        <f>IFERROR(INDEX(Reit!$I:$I,MATCH(AE283,Reit!$F:$F,0)),"")</f>
        <v/>
      </c>
      <c r="AG283" s="652"/>
    </row>
    <row r="284" spans="1:33"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76">
        <f t="shared" si="13"/>
        <v>0</v>
      </c>
      <c r="AE284" s="829">
        <f t="shared" si="12"/>
        <v>0</v>
      </c>
      <c r="AF284" s="830" t="str">
        <f>IFERROR(INDEX(Reit!$I:$I,MATCH(AE284,Reit!$F:$F,0)),"")</f>
        <v/>
      </c>
      <c r="AG284" s="652"/>
    </row>
    <row r="285" spans="1:33"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76">
        <f t="shared" si="13"/>
        <v>0</v>
      </c>
      <c r="AE285" s="829">
        <f t="shared" si="12"/>
        <v>0</v>
      </c>
      <c r="AF285" s="830" t="str">
        <f>IFERROR(INDEX(Reit!$I:$I,MATCH(AE285,Reit!$F:$F,0)),"")</f>
        <v/>
      </c>
      <c r="AG285" s="652"/>
    </row>
    <row r="286" spans="1:33" hidden="1" x14ac:dyDescent="0.2">
      <c r="A286" s="652"/>
      <c r="B286" s="652"/>
      <c r="C286" s="652"/>
      <c r="D286" s="652"/>
      <c r="E286" s="652"/>
      <c r="F286" s="652"/>
      <c r="G286" s="652"/>
      <c r="H286" s="652"/>
      <c r="I286" s="652"/>
      <c r="J286" s="652"/>
      <c r="K286" s="652"/>
      <c r="L286" s="657"/>
      <c r="M286" s="657"/>
      <c r="N286" s="657"/>
      <c r="O286" s="652"/>
      <c r="P286" s="652"/>
      <c r="Q286" s="652"/>
      <c r="R286" s="652"/>
      <c r="S286" s="652"/>
      <c r="T286" s="657"/>
      <c r="U286" s="657"/>
      <c r="V286" s="657"/>
      <c r="W286" s="652"/>
      <c r="X286" s="652"/>
      <c r="Y286" s="652"/>
      <c r="Z286" s="652"/>
      <c r="AA286" s="652"/>
      <c r="AB286" s="652"/>
      <c r="AC286" s="652"/>
      <c r="AD286" s="676">
        <f t="shared" si="13"/>
        <v>0</v>
      </c>
      <c r="AE286" s="829">
        <f t="shared" si="12"/>
        <v>0</v>
      </c>
      <c r="AF286" s="830" t="str">
        <f>IFERROR(INDEX(Reit!$I:$I,MATCH(AE286,Reit!$F:$F,0)),"")</f>
        <v/>
      </c>
      <c r="AG286" s="652"/>
    </row>
    <row r="287" spans="1:33" hidden="1" x14ac:dyDescent="0.2">
      <c r="A287" s="652"/>
      <c r="B287" s="652"/>
      <c r="C287" s="652"/>
      <c r="D287" s="652"/>
      <c r="E287" s="652"/>
      <c r="F287" s="652"/>
      <c r="G287" s="652"/>
      <c r="H287" s="652"/>
      <c r="I287" s="652"/>
      <c r="J287" s="652"/>
      <c r="K287" s="652"/>
      <c r="L287" s="657"/>
      <c r="M287" s="657"/>
      <c r="N287" s="657"/>
      <c r="O287" s="652"/>
      <c r="P287" s="652"/>
      <c r="Q287" s="652"/>
      <c r="R287" s="652"/>
      <c r="S287" s="652"/>
      <c r="T287" s="657"/>
      <c r="U287" s="657"/>
      <c r="V287" s="657"/>
      <c r="W287" s="652"/>
      <c r="X287" s="652"/>
      <c r="Y287" s="652"/>
      <c r="Z287" s="652"/>
      <c r="AA287" s="652"/>
      <c r="AB287" s="652"/>
      <c r="AC287" s="652"/>
      <c r="AD287" s="676">
        <f t="shared" si="13"/>
        <v>0</v>
      </c>
      <c r="AE287" s="829">
        <f t="shared" si="12"/>
        <v>0</v>
      </c>
      <c r="AF287" s="830" t="str">
        <f>IFERROR(INDEX(Reit!$I:$I,MATCH(AE287,Reit!$F:$F,0)),"")</f>
        <v/>
      </c>
      <c r="AG287" s="652"/>
    </row>
    <row r="288" spans="1:33" hidden="1" x14ac:dyDescent="0.2">
      <c r="A288" s="652"/>
      <c r="B288" s="652"/>
      <c r="C288" s="652"/>
      <c r="D288" s="652"/>
      <c r="E288" s="652"/>
      <c r="F288" s="652"/>
      <c r="G288" s="652"/>
      <c r="H288" s="652"/>
      <c r="I288" s="652"/>
      <c r="J288" s="652"/>
      <c r="K288" s="652"/>
      <c r="L288" s="657"/>
      <c r="M288" s="657"/>
      <c r="N288" s="657"/>
      <c r="O288" s="652"/>
      <c r="P288" s="652"/>
      <c r="Q288" s="652"/>
      <c r="R288" s="652"/>
      <c r="S288" s="652"/>
      <c r="T288" s="657"/>
      <c r="U288" s="657"/>
      <c r="V288" s="657"/>
      <c r="W288" s="652"/>
      <c r="X288" s="652"/>
      <c r="Y288" s="652"/>
      <c r="Z288" s="652"/>
      <c r="AA288" s="652"/>
      <c r="AB288" s="652"/>
      <c r="AC288" s="652"/>
      <c r="AD288" s="676">
        <f t="shared" si="13"/>
        <v>0</v>
      </c>
      <c r="AE288" s="829">
        <f t="shared" si="12"/>
        <v>0</v>
      </c>
      <c r="AF288" s="830" t="str">
        <f>IFERROR(INDEX(Reit!$I:$I,MATCH(AE288,Reit!$F:$F,0)),"")</f>
        <v/>
      </c>
      <c r="AG288" s="652"/>
    </row>
    <row r="289" spans="1:33" hidden="1" x14ac:dyDescent="0.2">
      <c r="A289" s="652"/>
      <c r="B289" s="652"/>
      <c r="C289" s="652"/>
      <c r="D289" s="652"/>
      <c r="E289" s="652"/>
      <c r="F289" s="652"/>
      <c r="G289" s="652"/>
      <c r="H289" s="652"/>
      <c r="I289" s="652"/>
      <c r="J289" s="652"/>
      <c r="K289" s="652"/>
      <c r="L289" s="657"/>
      <c r="M289" s="657"/>
      <c r="N289" s="657"/>
      <c r="O289" s="652"/>
      <c r="P289" s="652"/>
      <c r="Q289" s="652"/>
      <c r="R289" s="652"/>
      <c r="S289" s="652"/>
      <c r="T289" s="657"/>
      <c r="U289" s="657"/>
      <c r="V289" s="657"/>
      <c r="W289" s="652"/>
      <c r="X289" s="652"/>
      <c r="Y289" s="652"/>
      <c r="Z289" s="652"/>
      <c r="AA289" s="652"/>
      <c r="AB289" s="652"/>
      <c r="AC289" s="652"/>
      <c r="AD289" s="676">
        <f t="shared" si="13"/>
        <v>0</v>
      </c>
      <c r="AE289" s="829">
        <f t="shared" si="12"/>
        <v>0</v>
      </c>
      <c r="AF289" s="830" t="str">
        <f>IFERROR(INDEX(Reit!$I:$I,MATCH(AE289,Reit!$F:$F,0)),"")</f>
        <v/>
      </c>
      <c r="AG289" s="652"/>
    </row>
    <row r="290" spans="1:33" hidden="1" x14ac:dyDescent="0.2">
      <c r="A290" s="652"/>
      <c r="B290" s="652"/>
      <c r="C290" s="652"/>
      <c r="D290" s="652"/>
      <c r="E290" s="652"/>
      <c r="F290" s="652"/>
      <c r="G290" s="652"/>
      <c r="H290" s="652"/>
      <c r="I290" s="652"/>
      <c r="J290" s="652"/>
      <c r="K290" s="652"/>
      <c r="L290" s="657"/>
      <c r="M290" s="657"/>
      <c r="N290" s="657"/>
      <c r="O290" s="652"/>
      <c r="P290" s="652"/>
      <c r="Q290" s="652"/>
      <c r="R290" s="652"/>
      <c r="S290" s="652"/>
      <c r="T290" s="657"/>
      <c r="U290" s="657"/>
      <c r="V290" s="657"/>
      <c r="W290" s="652"/>
      <c r="X290" s="652"/>
      <c r="Y290" s="652"/>
      <c r="Z290" s="652"/>
      <c r="AA290" s="652"/>
      <c r="AB290" s="652"/>
      <c r="AC290" s="652"/>
      <c r="AD290" s="676">
        <f t="shared" si="13"/>
        <v>0</v>
      </c>
      <c r="AE290" s="829">
        <f t="shared" si="12"/>
        <v>0</v>
      </c>
      <c r="AF290" s="830" t="str">
        <f>IFERROR(INDEX(Reit!$I:$I,MATCH(AE290,Reit!$F:$F,0)),"")</f>
        <v/>
      </c>
      <c r="AG290" s="652"/>
    </row>
    <row r="291" spans="1:33" hidden="1" x14ac:dyDescent="0.2">
      <c r="A291" s="652"/>
      <c r="B291" s="652"/>
      <c r="C291" s="652"/>
      <c r="D291" s="652"/>
      <c r="E291" s="652"/>
      <c r="F291" s="652"/>
      <c r="G291" s="652"/>
      <c r="H291" s="652"/>
      <c r="I291" s="652"/>
      <c r="J291" s="652"/>
      <c r="K291" s="652"/>
      <c r="L291" s="657"/>
      <c r="M291" s="657"/>
      <c r="N291" s="657"/>
      <c r="O291" s="652"/>
      <c r="P291" s="652"/>
      <c r="Q291" s="652"/>
      <c r="R291" s="652"/>
      <c r="S291" s="652"/>
      <c r="T291" s="657"/>
      <c r="U291" s="657"/>
      <c r="V291" s="657"/>
      <c r="W291" s="652"/>
      <c r="X291" s="652"/>
      <c r="Y291" s="652"/>
      <c r="Z291" s="652"/>
      <c r="AA291" s="652"/>
      <c r="AB291" s="652"/>
      <c r="AC291" s="652"/>
      <c r="AD291" s="676">
        <f t="shared" si="13"/>
        <v>0</v>
      </c>
      <c r="AE291" s="829">
        <f t="shared" si="12"/>
        <v>0</v>
      </c>
      <c r="AF291" s="830" t="str">
        <f>IFERROR(INDEX(Reit!$I:$I,MATCH(AE291,Reit!$F:$F,0)),"")</f>
        <v/>
      </c>
      <c r="AG291" s="652"/>
    </row>
    <row r="292" spans="1:33" hidden="1" x14ac:dyDescent="0.2">
      <c r="A292" s="652"/>
      <c r="B292" s="652"/>
      <c r="C292" s="652"/>
      <c r="D292" s="652"/>
      <c r="E292" s="652"/>
      <c r="F292" s="652"/>
      <c r="G292" s="652"/>
      <c r="H292" s="652"/>
      <c r="I292" s="652"/>
      <c r="J292" s="652"/>
      <c r="K292" s="652"/>
      <c r="L292" s="657"/>
      <c r="M292" s="657"/>
      <c r="N292" s="657"/>
      <c r="O292" s="652"/>
      <c r="P292" s="652"/>
      <c r="Q292" s="652"/>
      <c r="R292" s="652"/>
      <c r="S292" s="652"/>
      <c r="T292" s="657"/>
      <c r="U292" s="657"/>
      <c r="V292" s="657"/>
      <c r="W292" s="652"/>
      <c r="X292" s="652"/>
      <c r="Y292" s="652"/>
      <c r="Z292" s="652"/>
      <c r="AA292" s="652"/>
      <c r="AB292" s="652"/>
      <c r="AC292" s="652"/>
      <c r="AD292" s="676">
        <f t="shared" si="13"/>
        <v>0</v>
      </c>
      <c r="AE292" s="829">
        <f t="shared" si="12"/>
        <v>0</v>
      </c>
      <c r="AF292" s="830" t="str">
        <f>IFERROR(INDEX(Reit!$I:$I,MATCH(AE292,Reit!$F:$F,0)),"")</f>
        <v/>
      </c>
      <c r="AG292" s="652"/>
    </row>
    <row r="293" spans="1:33" hidden="1" x14ac:dyDescent="0.2">
      <c r="A293" s="652"/>
      <c r="B293" s="652"/>
      <c r="C293" s="652"/>
      <c r="D293" s="652"/>
      <c r="E293" s="652"/>
      <c r="F293" s="652"/>
      <c r="G293" s="652"/>
      <c r="H293" s="652"/>
      <c r="I293" s="652"/>
      <c r="J293" s="652"/>
      <c r="K293" s="652"/>
      <c r="L293" s="657"/>
      <c r="M293" s="657"/>
      <c r="N293" s="657"/>
      <c r="O293" s="652"/>
      <c r="P293" s="652"/>
      <c r="Q293" s="652"/>
      <c r="R293" s="652"/>
      <c r="S293" s="652"/>
      <c r="T293" s="657"/>
      <c r="U293" s="657"/>
      <c r="V293" s="657"/>
      <c r="W293" s="652"/>
      <c r="X293" s="652"/>
      <c r="Y293" s="652"/>
      <c r="Z293" s="652"/>
      <c r="AA293" s="652"/>
      <c r="AB293" s="652"/>
      <c r="AC293" s="652"/>
      <c r="AD293" s="676">
        <f t="shared" si="13"/>
        <v>0</v>
      </c>
      <c r="AE293" s="829">
        <f t="shared" si="12"/>
        <v>0</v>
      </c>
      <c r="AF293" s="830" t="str">
        <f>IFERROR(INDEX(Reit!$I:$I,MATCH(AE293,Reit!$F:$F,0)),"")</f>
        <v/>
      </c>
      <c r="AG293" s="652"/>
    </row>
    <row r="294" spans="1:33" hidden="1" x14ac:dyDescent="0.2">
      <c r="A294" s="652"/>
      <c r="B294" s="652"/>
      <c r="C294" s="652"/>
      <c r="D294" s="652"/>
      <c r="E294" s="652"/>
      <c r="F294" s="652"/>
      <c r="G294" s="652"/>
      <c r="H294" s="652"/>
      <c r="I294" s="652"/>
      <c r="J294" s="652"/>
      <c r="K294" s="652"/>
      <c r="L294" s="657"/>
      <c r="M294" s="657"/>
      <c r="N294" s="657"/>
      <c r="O294" s="652"/>
      <c r="P294" s="652"/>
      <c r="Q294" s="652"/>
      <c r="R294" s="652"/>
      <c r="S294" s="652"/>
      <c r="T294" s="657"/>
      <c r="U294" s="657"/>
      <c r="V294" s="657"/>
      <c r="W294" s="652"/>
      <c r="X294" s="652"/>
      <c r="Y294" s="652"/>
      <c r="Z294" s="652"/>
      <c r="AA294" s="652"/>
      <c r="AB294" s="652"/>
      <c r="AC294" s="652"/>
      <c r="AD294" s="676">
        <f t="shared" si="13"/>
        <v>0</v>
      </c>
      <c r="AE294" s="829">
        <f t="shared" si="12"/>
        <v>0</v>
      </c>
      <c r="AF294" s="830" t="str">
        <f>IFERROR(INDEX(Reit!$I:$I,MATCH(AE294,Reit!$F:$F,0)),"")</f>
        <v/>
      </c>
      <c r="AG294" s="652"/>
    </row>
    <row r="295" spans="1:33" hidden="1" x14ac:dyDescent="0.2">
      <c r="A295" s="652"/>
      <c r="B295" s="652"/>
      <c r="C295" s="652"/>
      <c r="D295" s="652"/>
      <c r="E295" s="652"/>
      <c r="F295" s="652"/>
      <c r="G295" s="652"/>
      <c r="H295" s="652"/>
      <c r="I295" s="652"/>
      <c r="J295" s="652"/>
      <c r="K295" s="652"/>
      <c r="L295" s="657"/>
      <c r="M295" s="657"/>
      <c r="N295" s="657"/>
      <c r="O295" s="652"/>
      <c r="P295" s="652"/>
      <c r="Q295" s="652"/>
      <c r="R295" s="652"/>
      <c r="S295" s="652"/>
      <c r="T295" s="657"/>
      <c r="U295" s="657"/>
      <c r="V295" s="657"/>
      <c r="W295" s="652"/>
      <c r="X295" s="652"/>
      <c r="Y295" s="652"/>
      <c r="Z295" s="652"/>
      <c r="AA295" s="652"/>
      <c r="AB295" s="652"/>
      <c r="AC295" s="652"/>
      <c r="AD295" s="676">
        <f t="shared" si="13"/>
        <v>0</v>
      </c>
      <c r="AE295" s="829">
        <f t="shared" si="12"/>
        <v>0</v>
      </c>
      <c r="AF295" s="830" t="str">
        <f>IFERROR(INDEX(Reit!$I:$I,MATCH(AE295,Reit!$F:$F,0)),"")</f>
        <v/>
      </c>
      <c r="AG295" s="652"/>
    </row>
    <row r="296" spans="1:33" hidden="1" x14ac:dyDescent="0.2">
      <c r="A296" s="652"/>
      <c r="B296" s="652"/>
      <c r="C296" s="652"/>
      <c r="D296" s="652"/>
      <c r="E296" s="652"/>
      <c r="F296" s="652"/>
      <c r="G296" s="652"/>
      <c r="H296" s="652"/>
      <c r="I296" s="652"/>
      <c r="J296" s="652"/>
      <c r="K296" s="652"/>
      <c r="L296" s="657"/>
      <c r="M296" s="657"/>
      <c r="N296" s="657"/>
      <c r="O296" s="652"/>
      <c r="P296" s="652"/>
      <c r="Q296" s="652"/>
      <c r="R296" s="652"/>
      <c r="S296" s="652"/>
      <c r="T296" s="657"/>
      <c r="U296" s="657"/>
      <c r="V296" s="657"/>
      <c r="W296" s="652"/>
      <c r="X296" s="652"/>
      <c r="Y296" s="652"/>
      <c r="Z296" s="652"/>
      <c r="AA296" s="652"/>
      <c r="AB296" s="652"/>
      <c r="AC296" s="652"/>
      <c r="AD296" s="676">
        <f t="shared" si="13"/>
        <v>0</v>
      </c>
      <c r="AE296" s="829">
        <f t="shared" si="12"/>
        <v>0</v>
      </c>
      <c r="AF296" s="830" t="str">
        <f>IFERROR(INDEX(Reit!$I:$I,MATCH(AE296,Reit!$F:$F,0)),"")</f>
        <v/>
      </c>
      <c r="AG296" s="652"/>
    </row>
    <row r="297" spans="1:33" hidden="1" x14ac:dyDescent="0.2">
      <c r="D297" s="698"/>
      <c r="E297" s="698"/>
      <c r="F297" s="65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76">
        <f t="shared" si="13"/>
        <v>0</v>
      </c>
      <c r="AE297" s="829">
        <f t="shared" si="12"/>
        <v>0</v>
      </c>
      <c r="AF297" s="830" t="str">
        <f>IFERROR(INDEX(Reit!$I:$I,MATCH(AE297,Reit!$F:$F,0)),"")</f>
        <v/>
      </c>
      <c r="AG297" s="652"/>
    </row>
    <row r="298" spans="1:33" x14ac:dyDescent="0.2">
      <c r="D298" s="702"/>
      <c r="E298" s="702"/>
      <c r="F298" s="652"/>
      <c r="G298" s="652"/>
      <c r="H298" s="652"/>
      <c r="I298" s="652"/>
      <c r="J298" s="652"/>
      <c r="K298" s="652"/>
      <c r="L298" s="652"/>
      <c r="M298" s="652"/>
      <c r="N298" s="652"/>
      <c r="O298" s="652"/>
      <c r="P298" s="652"/>
      <c r="Q298" s="652"/>
      <c r="R298" s="652"/>
      <c r="S298" s="652"/>
      <c r="T298" s="652"/>
      <c r="U298" s="652"/>
      <c r="V298" s="652"/>
      <c r="W298" s="652"/>
      <c r="X298" s="652"/>
      <c r="Y298" s="652"/>
      <c r="Z298" s="652"/>
      <c r="AA298" s="652"/>
      <c r="AB298" s="652"/>
      <c r="AC298" s="652"/>
      <c r="AD298" s="652"/>
      <c r="AE298" s="652"/>
      <c r="AF298" s="652"/>
      <c r="AG298" s="652"/>
    </row>
    <row r="299" spans="1:33" x14ac:dyDescent="0.2">
      <c r="A299" s="652"/>
      <c r="B299" s="652"/>
      <c r="C299" s="697" t="s">
        <v>182</v>
      </c>
      <c r="D299" s="653"/>
      <c r="E299" s="653"/>
      <c r="F299" s="652"/>
      <c r="G299" s="652"/>
      <c r="H299" s="652"/>
      <c r="I299" s="652"/>
      <c r="J299" s="652"/>
      <c r="K299" s="652"/>
      <c r="L299" s="652"/>
      <c r="M299" s="652"/>
      <c r="N299" s="652"/>
      <c r="O299" s="652"/>
      <c r="P299" s="652"/>
      <c r="Q299" s="652"/>
      <c r="R299" s="652"/>
      <c r="S299" s="652"/>
      <c r="T299" s="652"/>
      <c r="U299" s="652"/>
      <c r="V299" s="652"/>
      <c r="W299" s="703"/>
      <c r="X299" s="652"/>
      <c r="Y299" s="652"/>
      <c r="Z299" s="652"/>
      <c r="AA299" s="652"/>
      <c r="AB299" s="652"/>
      <c r="AC299" s="652"/>
      <c r="AD299" s="652"/>
      <c r="AE299" s="652"/>
      <c r="AF299" s="652"/>
      <c r="AG299" s="652"/>
    </row>
    <row r="300" spans="1:33" x14ac:dyDescent="0.2">
      <c r="A300" s="699">
        <v>1</v>
      </c>
      <c r="B300" s="700" t="str">
        <f t="shared" ref="B300:B321" si="14">IFERROR(INDEX(B$1:B$98,MATCH(A300,A$1:A$98,0)),"")</f>
        <v>Ivar Viljaste</v>
      </c>
      <c r="C300" s="711">
        <v>40</v>
      </c>
      <c r="D300" s="653"/>
      <c r="E300" s="653"/>
      <c r="F300" s="652"/>
      <c r="G300" s="652"/>
      <c r="H300" s="652"/>
      <c r="I300" s="652"/>
      <c r="J300" s="652"/>
      <c r="K300" s="652"/>
      <c r="L300" s="652"/>
      <c r="M300" s="652"/>
      <c r="N300" s="652"/>
      <c r="O300" s="652"/>
      <c r="P300" s="652"/>
      <c r="Q300" s="652"/>
      <c r="R300" s="652"/>
      <c r="S300" s="652"/>
      <c r="T300" s="652"/>
      <c r="U300" s="652"/>
      <c r="V300" s="652"/>
      <c r="W300" s="652"/>
      <c r="X300" s="652"/>
      <c r="Y300" s="652"/>
      <c r="Z300" s="652"/>
      <c r="AA300" s="652"/>
      <c r="AB300" s="652"/>
      <c r="AC300" s="652"/>
      <c r="AD300" s="652"/>
      <c r="AE300" s="652"/>
      <c r="AF300" s="652"/>
      <c r="AG300" s="652"/>
    </row>
    <row r="301" spans="1:33" x14ac:dyDescent="0.2">
      <c r="A301" s="699">
        <v>2</v>
      </c>
      <c r="B301" s="700" t="str">
        <f t="shared" si="14"/>
        <v>Kenneth Muusikus</v>
      </c>
      <c r="C301" s="711">
        <v>34</v>
      </c>
      <c r="D301" s="653"/>
      <c r="E301" s="653"/>
      <c r="F301" s="652"/>
      <c r="G301" s="652"/>
      <c r="H301" s="652"/>
      <c r="I301" s="652"/>
      <c r="J301" s="652"/>
      <c r="K301" s="652"/>
      <c r="L301" s="652"/>
      <c r="M301" s="652"/>
      <c r="N301" s="652"/>
      <c r="O301" s="652"/>
      <c r="P301" s="652"/>
      <c r="Q301" s="652"/>
      <c r="R301" s="652"/>
      <c r="S301" s="652"/>
      <c r="T301" s="652"/>
      <c r="U301" s="652"/>
      <c r="V301" s="652"/>
      <c r="W301" s="652"/>
      <c r="X301" s="652"/>
      <c r="Y301" s="652"/>
      <c r="Z301" s="652"/>
      <c r="AA301" s="652"/>
      <c r="AB301" s="652"/>
      <c r="AC301" s="652"/>
      <c r="AD301" s="652"/>
      <c r="AE301" s="652"/>
      <c r="AF301" s="652"/>
      <c r="AG301" s="652"/>
    </row>
    <row r="302" spans="1:33" x14ac:dyDescent="0.2">
      <c r="A302" s="699">
        <v>3</v>
      </c>
      <c r="B302" s="700" t="str">
        <f t="shared" si="14"/>
        <v>Kristo Viljaste</v>
      </c>
      <c r="C302" s="711">
        <v>30</v>
      </c>
      <c r="D302" s="653"/>
      <c r="E302" s="653"/>
      <c r="F302" s="652"/>
      <c r="G302" s="652"/>
      <c r="H302" s="652"/>
      <c r="I302" s="652"/>
      <c r="J302" s="652"/>
      <c r="K302" s="652"/>
      <c r="L302" s="652"/>
      <c r="M302" s="652"/>
      <c r="N302" s="652"/>
      <c r="O302" s="652"/>
      <c r="P302" s="652"/>
      <c r="Q302" s="652"/>
      <c r="R302" s="652"/>
      <c r="S302" s="652"/>
      <c r="T302" s="652"/>
      <c r="U302" s="652"/>
      <c r="V302" s="652"/>
      <c r="W302" s="652"/>
      <c r="X302" s="652"/>
      <c r="Y302" s="652"/>
      <c r="Z302" s="652"/>
      <c r="AA302" s="652"/>
      <c r="AB302" s="652"/>
      <c r="AC302" s="652"/>
      <c r="AD302" s="652"/>
      <c r="AE302" s="652"/>
      <c r="AF302" s="652"/>
      <c r="AG302" s="652"/>
    </row>
    <row r="303" spans="1:33" x14ac:dyDescent="0.2">
      <c r="A303" s="699">
        <v>4</v>
      </c>
      <c r="B303" s="700" t="str">
        <f t="shared" si="14"/>
        <v>Elmo Lageda</v>
      </c>
      <c r="C303" s="711">
        <v>26</v>
      </c>
      <c r="D303" s="653"/>
      <c r="E303" s="653"/>
      <c r="F303" s="652"/>
      <c r="G303" s="652"/>
      <c r="H303" s="652"/>
      <c r="I303" s="652"/>
      <c r="J303" s="652"/>
      <c r="K303" s="652"/>
      <c r="L303" s="652"/>
      <c r="M303" s="652"/>
      <c r="N303" s="652"/>
      <c r="O303" s="652"/>
      <c r="P303" s="652"/>
      <c r="Q303" s="652"/>
      <c r="R303" s="652"/>
      <c r="S303" s="652"/>
      <c r="T303" s="652"/>
      <c r="U303" s="652"/>
      <c r="V303" s="652"/>
      <c r="W303" s="652"/>
      <c r="X303" s="652"/>
      <c r="Y303" s="652"/>
      <c r="Z303" s="652"/>
      <c r="AA303" s="652"/>
      <c r="AB303" s="652"/>
      <c r="AC303" s="652"/>
      <c r="AD303" s="652"/>
      <c r="AE303" s="652"/>
      <c r="AF303" s="652"/>
      <c r="AG303" s="652"/>
    </row>
    <row r="304" spans="1:33" x14ac:dyDescent="0.2">
      <c r="A304" s="699">
        <v>5</v>
      </c>
      <c r="B304" s="700" t="str">
        <f t="shared" si="14"/>
        <v>Matti Vinni</v>
      </c>
      <c r="C304" s="711">
        <v>24</v>
      </c>
      <c r="D304" s="653"/>
      <c r="E304" s="653"/>
      <c r="F304" s="652"/>
      <c r="G304" s="652"/>
      <c r="H304" s="652"/>
      <c r="I304" s="652"/>
      <c r="J304" s="652"/>
      <c r="K304" s="652"/>
      <c r="L304" s="652"/>
      <c r="M304" s="652"/>
      <c r="N304" s="652"/>
      <c r="O304" s="652"/>
      <c r="P304" s="652"/>
      <c r="Q304" s="652"/>
      <c r="R304" s="652"/>
      <c r="S304" s="652"/>
      <c r="T304" s="652"/>
      <c r="U304" s="652"/>
      <c r="V304" s="652"/>
      <c r="W304" s="703"/>
      <c r="X304" s="652"/>
      <c r="Y304" s="652"/>
      <c r="Z304" s="652"/>
      <c r="AA304" s="652"/>
      <c r="AB304" s="652"/>
      <c r="AC304" s="652"/>
      <c r="AD304" s="652"/>
      <c r="AE304" s="652"/>
      <c r="AF304" s="652"/>
      <c r="AG304" s="652"/>
    </row>
    <row r="305" spans="1:33" x14ac:dyDescent="0.2">
      <c r="A305" s="699">
        <v>6</v>
      </c>
      <c r="B305" s="700" t="str">
        <f t="shared" si="14"/>
        <v>Oskar Sepp</v>
      </c>
      <c r="C305" s="711">
        <v>22</v>
      </c>
      <c r="D305" s="653"/>
      <c r="E305" s="653"/>
      <c r="F305" s="652"/>
      <c r="G305" s="652"/>
      <c r="H305" s="652"/>
      <c r="I305" s="652"/>
      <c r="J305" s="652"/>
      <c r="K305" s="652"/>
      <c r="L305" s="652"/>
      <c r="M305" s="652"/>
      <c r="N305" s="652"/>
      <c r="O305" s="652"/>
      <c r="P305" s="652"/>
      <c r="Q305" s="652"/>
      <c r="R305" s="652"/>
      <c r="S305" s="652"/>
      <c r="T305" s="652"/>
      <c r="U305" s="652"/>
      <c r="V305" s="652"/>
      <c r="W305" s="652"/>
      <c r="X305" s="652"/>
      <c r="Y305" s="652"/>
      <c r="Z305" s="652"/>
      <c r="AA305" s="652"/>
      <c r="AB305" s="652"/>
      <c r="AC305" s="652"/>
      <c r="AD305" s="652"/>
      <c r="AE305" s="652"/>
      <c r="AF305" s="652"/>
      <c r="AG305" s="652"/>
    </row>
    <row r="306" spans="1:33" x14ac:dyDescent="0.2">
      <c r="A306" s="699">
        <v>7</v>
      </c>
      <c r="B306" s="700" t="str">
        <f t="shared" si="14"/>
        <v>Boriss Klubov</v>
      </c>
      <c r="C306" s="711">
        <v>20</v>
      </c>
      <c r="D306" s="653"/>
      <c r="E306" s="653"/>
      <c r="F306" s="652"/>
      <c r="G306" s="652"/>
      <c r="H306" s="652"/>
      <c r="I306" s="652"/>
      <c r="J306" s="652"/>
      <c r="K306" s="652"/>
      <c r="L306" s="652"/>
      <c r="M306" s="652"/>
      <c r="N306" s="652"/>
      <c r="O306" s="652"/>
      <c r="P306" s="652"/>
      <c r="Q306" s="652"/>
      <c r="R306" s="652"/>
      <c r="S306" s="652"/>
      <c r="T306" s="652"/>
      <c r="U306" s="652"/>
      <c r="V306" s="652"/>
      <c r="W306" s="652"/>
      <c r="X306" s="652"/>
      <c r="Y306" s="652"/>
      <c r="Z306" s="652"/>
      <c r="AA306" s="652"/>
      <c r="AB306" s="652"/>
      <c r="AC306" s="652"/>
      <c r="AD306" s="652"/>
      <c r="AE306" s="652"/>
      <c r="AF306" s="652"/>
      <c r="AG306" s="652"/>
    </row>
    <row r="307" spans="1:33" x14ac:dyDescent="0.2">
      <c r="A307" s="699">
        <v>8</v>
      </c>
      <c r="B307" s="700" t="str">
        <f t="shared" si="14"/>
        <v>Tõnu Kapper</v>
      </c>
      <c r="C307" s="711">
        <v>18</v>
      </c>
      <c r="D307" s="653"/>
      <c r="E307" s="653"/>
      <c r="F307" s="652"/>
      <c r="G307" s="652"/>
      <c r="H307" s="652"/>
      <c r="I307" s="652"/>
      <c r="J307" s="652"/>
      <c r="K307" s="652"/>
      <c r="L307" s="652"/>
      <c r="M307" s="652"/>
      <c r="N307" s="652"/>
      <c r="O307" s="652"/>
      <c r="P307" s="652"/>
      <c r="Q307" s="652"/>
      <c r="R307" s="652"/>
      <c r="S307" s="652"/>
      <c r="T307" s="652"/>
      <c r="U307" s="652"/>
      <c r="V307" s="652"/>
      <c r="W307" s="652"/>
      <c r="X307" s="652"/>
      <c r="Y307" s="652"/>
      <c r="Z307" s="652"/>
      <c r="AA307" s="652"/>
      <c r="AB307" s="652"/>
      <c r="AC307" s="652"/>
      <c r="AD307" s="652"/>
      <c r="AE307" s="652"/>
      <c r="AF307" s="652"/>
      <c r="AG307" s="652"/>
    </row>
    <row r="308" spans="1:33" x14ac:dyDescent="0.2">
      <c r="A308" s="699">
        <v>9</v>
      </c>
      <c r="B308" s="700" t="str">
        <f t="shared" si="14"/>
        <v>Jaan Sepp</v>
      </c>
      <c r="C308" s="711">
        <v>16</v>
      </c>
      <c r="D308" s="652"/>
      <c r="E308" s="652"/>
      <c r="F308" s="652"/>
      <c r="G308" s="652"/>
      <c r="H308" s="652"/>
      <c r="I308" s="652"/>
      <c r="J308" s="652"/>
      <c r="K308" s="652"/>
      <c r="L308" s="652"/>
      <c r="M308" s="652"/>
      <c r="N308" s="652"/>
      <c r="O308" s="652"/>
      <c r="P308" s="652"/>
      <c r="Q308" s="652"/>
      <c r="R308" s="652"/>
      <c r="S308" s="652"/>
      <c r="T308" s="652"/>
      <c r="U308" s="652"/>
      <c r="V308" s="652"/>
      <c r="W308" s="652"/>
      <c r="X308" s="652"/>
      <c r="Y308" s="652"/>
      <c r="Z308" s="652"/>
      <c r="AA308" s="652"/>
      <c r="AB308" s="652"/>
      <c r="AC308" s="652"/>
      <c r="AD308" s="652"/>
      <c r="AE308" s="652"/>
      <c r="AF308" s="652"/>
      <c r="AG308" s="652"/>
    </row>
    <row r="309" spans="1:33" x14ac:dyDescent="0.2">
      <c r="A309" s="699">
        <v>10</v>
      </c>
      <c r="B309" s="700" t="str">
        <f t="shared" si="14"/>
        <v>Janek Tarto</v>
      </c>
      <c r="C309" s="701">
        <v>14</v>
      </c>
      <c r="D309" s="652"/>
      <c r="E309" s="652"/>
      <c r="F309" s="652"/>
      <c r="G309" s="652"/>
      <c r="H309" s="652"/>
      <c r="I309" s="652"/>
      <c r="J309" s="652"/>
      <c r="K309" s="652"/>
      <c r="L309" s="652"/>
      <c r="M309" s="652"/>
      <c r="N309" s="652"/>
      <c r="O309" s="652"/>
      <c r="P309" s="652"/>
      <c r="Q309" s="652"/>
      <c r="R309" s="652"/>
      <c r="S309" s="652"/>
      <c r="T309" s="652"/>
      <c r="U309" s="652"/>
      <c r="V309" s="652"/>
      <c r="W309" s="652"/>
      <c r="X309" s="652"/>
      <c r="Y309" s="652"/>
      <c r="Z309" s="652"/>
      <c r="AA309" s="652"/>
      <c r="AB309" s="652"/>
      <c r="AC309" s="652"/>
      <c r="AD309" s="652"/>
      <c r="AE309" s="652"/>
      <c r="AF309" s="652"/>
      <c r="AG309" s="652"/>
    </row>
    <row r="310" spans="1:33" x14ac:dyDescent="0.2">
      <c r="A310" s="699">
        <v>11</v>
      </c>
      <c r="B310" s="700" t="str">
        <f t="shared" si="14"/>
        <v>Tõnu Piik</v>
      </c>
      <c r="C310" s="701">
        <v>12</v>
      </c>
      <c r="D310" s="652"/>
      <c r="E310" s="652"/>
      <c r="F310" s="652"/>
      <c r="G310" s="652"/>
      <c r="H310" s="652"/>
      <c r="I310" s="652"/>
      <c r="J310" s="652"/>
      <c r="K310" s="652"/>
      <c r="L310" s="652"/>
      <c r="M310" s="652"/>
      <c r="N310" s="652"/>
      <c r="O310" s="652"/>
      <c r="P310" s="652"/>
      <c r="Q310" s="652"/>
      <c r="R310" s="652"/>
      <c r="S310" s="652"/>
      <c r="T310" s="652"/>
      <c r="U310" s="652"/>
      <c r="V310" s="652"/>
      <c r="W310" s="652"/>
      <c r="X310" s="652"/>
      <c r="Y310" s="652"/>
      <c r="Z310" s="652"/>
      <c r="AA310" s="652"/>
      <c r="AB310" s="652"/>
      <c r="AC310" s="652"/>
      <c r="AD310" s="652"/>
      <c r="AE310" s="652"/>
      <c r="AF310" s="652"/>
      <c r="AG310" s="652"/>
    </row>
    <row r="311" spans="1:33" x14ac:dyDescent="0.2">
      <c r="A311" s="699">
        <v>12</v>
      </c>
      <c r="B311" s="700" t="str">
        <f t="shared" si="14"/>
        <v>Enn Tokman</v>
      </c>
      <c r="C311" s="701">
        <v>10</v>
      </c>
    </row>
    <row r="312" spans="1:33" x14ac:dyDescent="0.2">
      <c r="A312" s="699">
        <v>13</v>
      </c>
      <c r="B312" s="700" t="str">
        <f t="shared" si="14"/>
        <v>Kaspar Mänd</v>
      </c>
      <c r="C312" s="701">
        <v>8</v>
      </c>
    </row>
    <row r="313" spans="1:33" x14ac:dyDescent="0.2">
      <c r="A313" s="699">
        <v>14</v>
      </c>
      <c r="B313" s="700" t="str">
        <f t="shared" si="14"/>
        <v>Urmas Randlaine</v>
      </c>
      <c r="C313" s="701">
        <v>6</v>
      </c>
    </row>
    <row r="314" spans="1:33" x14ac:dyDescent="0.2">
      <c r="A314" s="699">
        <v>15</v>
      </c>
      <c r="B314" s="700" t="str">
        <f t="shared" si="14"/>
        <v>Lemmit Toomra</v>
      </c>
      <c r="C314" s="701">
        <v>4</v>
      </c>
    </row>
    <row r="315" spans="1:33" x14ac:dyDescent="0.2">
      <c r="A315" s="699">
        <v>16</v>
      </c>
      <c r="B315" s="700" t="str">
        <f t="shared" si="14"/>
        <v>Sandra Laura Nõmmeloo</v>
      </c>
      <c r="C315" s="701">
        <v>2</v>
      </c>
    </row>
    <row r="316" spans="1:33" x14ac:dyDescent="0.2">
      <c r="A316" s="699">
        <v>17</v>
      </c>
      <c r="B316" s="700" t="str">
        <f t="shared" si="14"/>
        <v>Urmas Jõeäär</v>
      </c>
      <c r="C316" s="701">
        <v>1</v>
      </c>
    </row>
    <row r="317" spans="1:33" x14ac:dyDescent="0.2">
      <c r="A317" s="699">
        <v>18</v>
      </c>
      <c r="B317" s="700" t="str">
        <f t="shared" si="14"/>
        <v>Andrei Grintšak</v>
      </c>
      <c r="C317" s="701">
        <v>1</v>
      </c>
    </row>
    <row r="318" spans="1:33" x14ac:dyDescent="0.2">
      <c r="A318" s="699">
        <v>19</v>
      </c>
      <c r="B318" s="700" t="str">
        <f t="shared" si="14"/>
        <v>Vladimir Mihhailov</v>
      </c>
      <c r="C318" s="701">
        <v>1</v>
      </c>
    </row>
    <row r="319" spans="1:33" x14ac:dyDescent="0.2">
      <c r="A319" s="699">
        <v>20</v>
      </c>
      <c r="B319" s="700" t="str">
        <f t="shared" si="14"/>
        <v>Vilmar Ostumaa</v>
      </c>
      <c r="C319" s="701">
        <f t="shared" ref="C319" si="15">IF(21-A319&gt;0,IF(OR(A319=A320,A318=A319),21-A319-0.5,21-A319),1)</f>
        <v>1</v>
      </c>
    </row>
    <row r="320" spans="1:33" x14ac:dyDescent="0.2">
      <c r="A320" s="699">
        <v>21</v>
      </c>
      <c r="B320" s="700" t="str">
        <f t="shared" si="14"/>
        <v>Illar Tõnurist</v>
      </c>
      <c r="C320" s="701">
        <f>IF(21-A320&gt;0,IF(OR(A320=A321,A319=A320),21-A320-0.5,21-A320),1)</f>
        <v>1</v>
      </c>
    </row>
    <row r="321" spans="1:3" x14ac:dyDescent="0.2">
      <c r="A321" s="699">
        <v>22</v>
      </c>
      <c r="B321" s="700" t="str">
        <f t="shared" si="14"/>
        <v>Liidia Põllu</v>
      </c>
      <c r="C321" s="701">
        <f>IF(21-A321&gt;0,IF(OR(A321=#REF!,A320=A321),21-A321-0.5,21-A321),1)</f>
        <v>1</v>
      </c>
    </row>
  </sheetData>
  <conditionalFormatting sqref="C8:C29">
    <cfRule type="expression" dxfId="689" priority="18">
      <formula>IF($C8&gt;$E8,TRUE)</formula>
    </cfRule>
  </conditionalFormatting>
  <conditionalFormatting sqref="E8:E29">
    <cfRule type="expression" dxfId="688" priority="19">
      <formula>IF($C8&lt;$E8,TRUE)</formula>
    </cfRule>
  </conditionalFormatting>
  <conditionalFormatting sqref="K8:K29">
    <cfRule type="expression" dxfId="687" priority="26">
      <formula>IF($K8&gt;$M8,TRUE)</formula>
    </cfRule>
  </conditionalFormatting>
  <conditionalFormatting sqref="M8:M29">
    <cfRule type="expression" dxfId="686" priority="27">
      <formula>IF($K8&lt;$M8,TRUE)</formula>
    </cfRule>
  </conditionalFormatting>
  <conditionalFormatting sqref="O8:O29">
    <cfRule type="expression" dxfId="685" priority="30">
      <formula>IF($O8&gt;$Q8,TRUE)</formula>
    </cfRule>
  </conditionalFormatting>
  <conditionalFormatting sqref="Q8:Q29">
    <cfRule type="expression" dxfId="684" priority="31">
      <formula>IF($O8&lt;$Q8,TRUE)</formula>
    </cfRule>
  </conditionalFormatting>
  <conditionalFormatting sqref="S8:S29">
    <cfRule type="expression" dxfId="683" priority="34">
      <formula>IF($S8&gt;$U8,TRUE)</formula>
    </cfRule>
  </conditionalFormatting>
  <conditionalFormatting sqref="U8:U29">
    <cfRule type="expression" dxfId="682" priority="35">
      <formula>IF($S8&lt;$U8,TRUE)</formula>
    </cfRule>
  </conditionalFormatting>
  <conditionalFormatting sqref="G8:G29">
    <cfRule type="expression" dxfId="681" priority="22">
      <formula>IF($G8&gt;$I8,TRUE)</formula>
    </cfRule>
  </conditionalFormatting>
  <conditionalFormatting sqref="I8:I29">
    <cfRule type="expression" dxfId="680" priority="23">
      <formula>IF($G8&lt;$I8,TRUE)</formula>
    </cfRule>
  </conditionalFormatting>
  <conditionalFormatting sqref="F8:F29">
    <cfRule type="containsText" dxfId="679" priority="9" operator="containsText" text="vaba voor">
      <formula>NOT(ISERROR(SEARCH("vaba voor",F8)))</formula>
    </cfRule>
  </conditionalFormatting>
  <conditionalFormatting sqref="N8:N29">
    <cfRule type="containsText" dxfId="678" priority="7" operator="containsText" text="vaba voor">
      <formula>NOT(ISERROR(SEARCH("vaba voor",N8)))</formula>
    </cfRule>
  </conditionalFormatting>
  <conditionalFormatting sqref="R8:R29">
    <cfRule type="containsText" dxfId="677" priority="10" operator="containsText" text="vaba voor">
      <formula>NOT(ISERROR(SEARCH("vaba voor",R8)))</formula>
    </cfRule>
  </conditionalFormatting>
  <conditionalFormatting sqref="V8:V29">
    <cfRule type="containsText" dxfId="676" priority="6" operator="containsText" text="vaba voor">
      <formula>NOT(ISERROR(SEARCH("vaba voor",V8)))</formula>
    </cfRule>
  </conditionalFormatting>
  <conditionalFormatting sqref="J8:J29">
    <cfRule type="containsText" dxfId="675" priority="8" operator="containsText" text="vaba voor">
      <formula>NOT(ISERROR(SEARCH("vaba voor",J8)))</formula>
    </cfRule>
  </conditionalFormatting>
  <conditionalFormatting sqref="C8:F29">
    <cfRule type="expression" dxfId="674" priority="14">
      <formula>IF(AND(ISNUMBER($C8),$C8=$E8),TRUE)</formula>
    </cfRule>
    <cfRule type="expression" dxfId="673" priority="16">
      <formula>IF($C8&gt;$E8,TRUE)</formula>
    </cfRule>
    <cfRule type="expression" dxfId="672" priority="17">
      <formula>IF($C8&lt;$E8,TRUE)</formula>
    </cfRule>
  </conditionalFormatting>
  <conditionalFormatting sqref="G8:J29">
    <cfRule type="expression" dxfId="671" priority="15">
      <formula>IF(AND(ISNUMBER($G8),$G8=$I8),TRUE)</formula>
    </cfRule>
    <cfRule type="expression" dxfId="670" priority="20">
      <formula>IF($G8&gt;$I8,TRUE)</formula>
    </cfRule>
    <cfRule type="expression" dxfId="669" priority="21">
      <formula>IF($G8&lt;$I8,TRUE)</formula>
    </cfRule>
  </conditionalFormatting>
  <conditionalFormatting sqref="K8:N29">
    <cfRule type="expression" dxfId="668" priority="13">
      <formula>IF(AND(ISNUMBER($K8),$K8=$M8),TRUE)</formula>
    </cfRule>
    <cfRule type="expression" dxfId="667" priority="24">
      <formula>IF($K8&gt;$M8,TRUE)</formula>
    </cfRule>
    <cfRule type="expression" dxfId="666" priority="25">
      <formula>IF($K8&lt;$M8,TRUE)</formula>
    </cfRule>
  </conditionalFormatting>
  <conditionalFormatting sqref="O8:R29">
    <cfRule type="expression" dxfId="665" priority="12">
      <formula>IF(AND(ISNUMBER($O8),$O8=$Q8),TRUE)</formula>
    </cfRule>
    <cfRule type="expression" dxfId="664" priority="28">
      <formula>IF($O8&gt;$Q8,TRUE)</formula>
    </cfRule>
    <cfRule type="expression" dxfId="663" priority="29">
      <formula>IF($O8&lt;$Q8,TRUE)</formula>
    </cfRule>
  </conditionalFormatting>
  <conditionalFormatting sqref="S8:V29">
    <cfRule type="expression" dxfId="662" priority="11">
      <formula>IF(AND(ISNUMBER($S8),$S8=$U8),TRUE)</formula>
    </cfRule>
    <cfRule type="expression" dxfId="661" priority="32">
      <formula>IF($S8&gt;$U8,TRUE)</formula>
    </cfRule>
    <cfRule type="expression" dxfId="660" priority="33">
      <formula>IF($S8&lt;$U8,TRUE)</formula>
    </cfRule>
  </conditionalFormatting>
  <conditionalFormatting sqref="C8:C29 G8:G29 K8:K29 O8:O29 S8:S29">
    <cfRule type="expression" dxfId="659" priority="5">
      <formula>AND(C8=0,E8=13)</formula>
    </cfRule>
  </conditionalFormatting>
  <conditionalFormatting sqref="A8:A29">
    <cfRule type="duplicateValues" dxfId="658" priority="470"/>
  </conditionalFormatting>
  <conditionalFormatting sqref="A300:A321">
    <cfRule type="duplicateValues" dxfId="657" priority="471"/>
  </conditionalFormatting>
  <conditionalFormatting sqref="B300:B321">
    <cfRule type="expression" dxfId="656" priority="477">
      <formula>A300=3</formula>
    </cfRule>
    <cfRule type="expression" dxfId="655" priority="478">
      <formula>A300=2</formula>
    </cfRule>
    <cfRule type="expression" dxfId="654" priority="479">
      <formula>A300=1</formula>
    </cfRule>
    <cfRule type="containsBlanks" dxfId="653" priority="480">
      <formula>LEN(TRIM(B300))=0</formula>
    </cfRule>
    <cfRule type="duplicateValues" dxfId="652" priority="481"/>
  </conditionalFormatting>
  <conditionalFormatting sqref="AE7:AE297">
    <cfRule type="expression" dxfId="651" priority="1">
      <formula>AND(AF7="",COUNTIF(AE7,"*,*")=0)</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G321"/>
  <sheetViews>
    <sheetView showGridLines="0" showRowColHeaders="0" zoomScaleNormal="100" workbookViewId="0">
      <pane ySplit="2" topLeftCell="A3" activePane="bottomLeft" state="frozen"/>
      <selection pane="bottomLeft" activeCell="R1" sqref="R1"/>
    </sheetView>
  </sheetViews>
  <sheetFormatPr defaultRowHeight="12.75" x14ac:dyDescent="0.2"/>
  <cols>
    <col min="1" max="1" width="3.28515625" customWidth="1"/>
    <col min="2" max="2" width="16.570312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0" width="9.140625" hidden="1" customWidth="1"/>
    <col min="31" max="31" width="16.5703125" hidden="1" customWidth="1"/>
    <col min="32" max="32" width="9.140625" hidden="1" customWidth="1"/>
  </cols>
  <sheetData>
    <row r="1" spans="1:33" x14ac:dyDescent="0.2">
      <c r="A1" s="742" t="str">
        <f>UPPER((Kalend!E39)&amp;" - "&amp;(Kalend!C39)&amp;" - "&amp;(Kalend!D39))</f>
        <v>13 - JÕHVI 19. MV - ÜKSIK</v>
      </c>
      <c r="B1" s="652"/>
      <c r="C1" s="653"/>
      <c r="D1" s="652"/>
      <c r="E1" s="652"/>
      <c r="J1" s="410" t="str">
        <f>HYPERLINK("#Kalend!I1","Kalender")</f>
        <v>Kalender</v>
      </c>
      <c r="K1" s="410"/>
      <c r="L1" s="410"/>
      <c r="M1" s="410"/>
      <c r="N1" s="654" t="str">
        <f>HYPERLINK("#Reit!r1","Reiting")</f>
        <v>Reiting</v>
      </c>
      <c r="O1" s="655"/>
      <c r="P1" s="656"/>
      <c r="Q1" s="657"/>
      <c r="R1" s="657"/>
      <c r="S1" s="655"/>
      <c r="T1" s="656"/>
      <c r="U1" s="656"/>
      <c r="V1" s="656"/>
      <c r="W1" s="652"/>
      <c r="X1" s="658"/>
      <c r="Y1" s="652"/>
      <c r="Z1" s="652"/>
      <c r="AA1" s="652"/>
      <c r="AB1" s="652"/>
      <c r="AD1" s="417" t="s">
        <v>181</v>
      </c>
      <c r="AE1" s="822"/>
      <c r="AF1" s="822"/>
      <c r="AG1" s="652"/>
    </row>
    <row r="2" spans="1:33" x14ac:dyDescent="0.2">
      <c r="A2" s="659" t="str">
        <f>"Toimumisaeg: "&amp;(Kalend!A39)&amp;" kell "&amp;(Kalend!B39)</f>
        <v>Toimumisaeg: P, 01.09.2019 kell 11:00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52"/>
      <c r="AB2" s="652"/>
      <c r="AD2" s="659"/>
      <c r="AE2" s="659"/>
      <c r="AF2" s="659"/>
      <c r="AG2" s="652"/>
    </row>
    <row r="3" spans="1:33" x14ac:dyDescent="0.2">
      <c r="A3" s="659" t="str">
        <f>"Toimumiskoht: "&amp;(Kalend!F39)</f>
        <v>Toimumiskoht: Jõhvi, Neptun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823" t="s">
        <v>362</v>
      </c>
      <c r="AF3" s="659"/>
      <c r="AG3" s="652"/>
    </row>
    <row r="4" spans="1:33" x14ac:dyDescent="0.2">
      <c r="A4" s="659" t="str">
        <f>"Korraldaja: "&amp;(Kalend!G39)</f>
        <v>Korraldaja: LTK Üks-Teist, Tõnu Kapper</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824" t="s">
        <v>479</v>
      </c>
      <c r="AE4" s="825"/>
      <c r="AF4" s="825"/>
      <c r="AG4" s="652"/>
    </row>
    <row r="5" spans="1:33"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824" t="s">
        <v>364</v>
      </c>
      <c r="AE5" s="826" t="s">
        <v>208</v>
      </c>
      <c r="AF5" s="826"/>
      <c r="AG5" s="652"/>
    </row>
    <row r="6" spans="1:33" hidden="1"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824" t="s">
        <v>376</v>
      </c>
      <c r="AE6" s="825"/>
      <c r="AF6" s="825"/>
      <c r="AG6" s="652"/>
    </row>
    <row r="7" spans="1:33" hidden="1"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6"/>
      <c r="AE7" s="829"/>
      <c r="AF7" s="830"/>
      <c r="AG7" s="652"/>
    </row>
    <row r="8" spans="1:33" hidden="1" x14ac:dyDescent="0.2">
      <c r="A8" s="685">
        <v>1</v>
      </c>
      <c r="B8" s="686" t="s">
        <v>230</v>
      </c>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676">
        <f ca="1">SUM(AF8:AF8)</f>
        <v>196</v>
      </c>
      <c r="AE8" s="829" t="str">
        <f t="shared" ref="AE8:AE29" si="0">$B8</f>
        <v>Aarne Välja</v>
      </c>
      <c r="AF8" s="830">
        <f ca="1">IFERROR(INDEX(Reit!$I:$I,MATCH(AE8,Reit!$F:$F,0)),"")</f>
        <v>196</v>
      </c>
      <c r="AG8" s="652"/>
    </row>
    <row r="9" spans="1:33" hidden="1" x14ac:dyDescent="0.2">
      <c r="A9" s="685">
        <v>2</v>
      </c>
      <c r="B9" s="686" t="s">
        <v>221</v>
      </c>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27" si="1">IF(C9&gt;E9,J$3,IF(C9&lt;E9,J$5,IF(ISNUMBER(C9),J$4,0)))+IF(G9&gt;I9,J$3,IF(G9&lt;I9,J$5,IF(ISNUMBER(G9),J$4,0)))+IF(K9&gt;M9,J$3,IF(K9&lt;M9,J$5,IF(ISNUMBER(K9),J$4,0)))+IF(O9&gt;Q9,J$3,IF(O9&lt;Q9,J$5,IF(ISNUMBER(O9),J$4,0)))+IF(S9&gt;U9,J$3,IF(S9&lt;U9,J$5,IF(ISNUMBER(S9),J$4,0)))</f>
        <v>0</v>
      </c>
      <c r="X9" s="692"/>
      <c r="Y9" s="687">
        <f t="shared" ref="Y9:Y27" si="2">C9+G9+K9+O9+S9</f>
        <v>0</v>
      </c>
      <c r="Z9" s="688" t="s">
        <v>377</v>
      </c>
      <c r="AA9" s="693">
        <f t="shared" ref="AA9:AA27" si="3">E9+I9+M9+Q9+U9</f>
        <v>0</v>
      </c>
      <c r="AB9" s="694">
        <f t="shared" ref="AB9:AB27" si="4">Y9-AA9</f>
        <v>0</v>
      </c>
      <c r="AC9" s="695"/>
      <c r="AD9" s="676">
        <f t="shared" ref="AD9:AD29" ca="1" si="5">SUM(AF9:AF9)</f>
        <v>310</v>
      </c>
      <c r="AE9" s="829" t="str">
        <f t="shared" si="0"/>
        <v>Jaan Sepp</v>
      </c>
      <c r="AF9" s="830">
        <f ca="1">IFERROR(INDEX(Reit!$I:$I,MATCH(AE9,Reit!$F:$F,0)),"")</f>
        <v>310</v>
      </c>
      <c r="AG9" s="652"/>
    </row>
    <row r="10" spans="1:33" hidden="1" x14ac:dyDescent="0.2">
      <c r="A10" s="685">
        <v>3</v>
      </c>
      <c r="B10" s="686" t="s">
        <v>227</v>
      </c>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1"/>
        <v>0</v>
      </c>
      <c r="X10" s="692"/>
      <c r="Y10" s="687">
        <f t="shared" si="2"/>
        <v>0</v>
      </c>
      <c r="Z10" s="688" t="s">
        <v>377</v>
      </c>
      <c r="AA10" s="693">
        <f t="shared" si="3"/>
        <v>0</v>
      </c>
      <c r="AB10" s="694">
        <f t="shared" si="4"/>
        <v>0</v>
      </c>
      <c r="AC10" s="695"/>
      <c r="AD10" s="676">
        <f t="shared" ca="1" si="5"/>
        <v>234</v>
      </c>
      <c r="AE10" s="829" t="str">
        <f t="shared" si="0"/>
        <v>Andres Veski</v>
      </c>
      <c r="AF10" s="830">
        <f ca="1">IFERROR(INDEX(Reit!$I:$I,MATCH(AE10,Reit!$F:$F,0)),"")</f>
        <v>234</v>
      </c>
      <c r="AG10" s="652"/>
    </row>
    <row r="11" spans="1:33" hidden="1" x14ac:dyDescent="0.2">
      <c r="A11" s="685">
        <v>4</v>
      </c>
      <c r="B11" s="686" t="s">
        <v>222</v>
      </c>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1"/>
        <v>0</v>
      </c>
      <c r="X11" s="692"/>
      <c r="Y11" s="687">
        <f t="shared" si="2"/>
        <v>0</v>
      </c>
      <c r="Z11" s="688" t="s">
        <v>377</v>
      </c>
      <c r="AA11" s="693">
        <f t="shared" si="3"/>
        <v>0</v>
      </c>
      <c r="AB11" s="694">
        <f t="shared" si="4"/>
        <v>0</v>
      </c>
      <c r="AC11" s="695"/>
      <c r="AD11" s="676">
        <f t="shared" ca="1" si="5"/>
        <v>294</v>
      </c>
      <c r="AE11" s="829" t="str">
        <f t="shared" si="0"/>
        <v>Matti Vinni</v>
      </c>
      <c r="AF11" s="830">
        <f ca="1">IFERROR(INDEX(Reit!$I:$I,MATCH(AE11,Reit!$F:$F,0)),"")</f>
        <v>294</v>
      </c>
      <c r="AG11" s="652"/>
    </row>
    <row r="12" spans="1:33" hidden="1" x14ac:dyDescent="0.2">
      <c r="A12" s="685">
        <v>5</v>
      </c>
      <c r="B12" s="686" t="s">
        <v>226</v>
      </c>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1"/>
        <v>0</v>
      </c>
      <c r="X12" s="692"/>
      <c r="Y12" s="687">
        <f t="shared" si="2"/>
        <v>0</v>
      </c>
      <c r="Z12" s="688" t="s">
        <v>377</v>
      </c>
      <c r="AA12" s="693">
        <f t="shared" si="3"/>
        <v>0</v>
      </c>
      <c r="AB12" s="694">
        <f t="shared" si="4"/>
        <v>0</v>
      </c>
      <c r="AC12" s="695"/>
      <c r="AD12" s="676">
        <f t="shared" ca="1" si="5"/>
        <v>250</v>
      </c>
      <c r="AE12" s="829" t="str">
        <f t="shared" si="0"/>
        <v>Tõnu Piik</v>
      </c>
      <c r="AF12" s="830">
        <f ca="1">IFERROR(INDEX(Reit!$I:$I,MATCH(AE12,Reit!$F:$F,0)),"")</f>
        <v>250</v>
      </c>
      <c r="AG12" s="652"/>
    </row>
    <row r="13" spans="1:33" hidden="1" x14ac:dyDescent="0.2">
      <c r="A13" s="685">
        <v>6</v>
      </c>
      <c r="B13" s="686" t="s">
        <v>244</v>
      </c>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1"/>
        <v>0</v>
      </c>
      <c r="X13" s="692"/>
      <c r="Y13" s="687">
        <f t="shared" si="2"/>
        <v>0</v>
      </c>
      <c r="Z13" s="688" t="s">
        <v>377</v>
      </c>
      <c r="AA13" s="693">
        <f t="shared" si="3"/>
        <v>0</v>
      </c>
      <c r="AB13" s="694">
        <f t="shared" si="4"/>
        <v>0</v>
      </c>
      <c r="AC13" s="695"/>
      <c r="AD13" s="676">
        <f t="shared" ca="1" si="5"/>
        <v>80</v>
      </c>
      <c r="AE13" s="829" t="str">
        <f t="shared" si="0"/>
        <v>Enn Tokman</v>
      </c>
      <c r="AF13" s="830">
        <f ca="1">IFERROR(INDEX(Reit!$I:$I,MATCH(AE13,Reit!$F:$F,0)),"")</f>
        <v>80</v>
      </c>
      <c r="AG13" s="652"/>
    </row>
    <row r="14" spans="1:33" hidden="1" x14ac:dyDescent="0.2">
      <c r="A14" s="685">
        <v>7</v>
      </c>
      <c r="B14" s="696" t="s">
        <v>220</v>
      </c>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1"/>
        <v>0</v>
      </c>
      <c r="X14" s="692"/>
      <c r="Y14" s="687">
        <f t="shared" si="2"/>
        <v>0</v>
      </c>
      <c r="Z14" s="688" t="s">
        <v>377</v>
      </c>
      <c r="AA14" s="693">
        <f t="shared" si="3"/>
        <v>0</v>
      </c>
      <c r="AB14" s="694">
        <f t="shared" si="4"/>
        <v>0</v>
      </c>
      <c r="AC14" s="695"/>
      <c r="AD14" s="676">
        <f t="shared" ca="1" si="5"/>
        <v>330</v>
      </c>
      <c r="AE14" s="829" t="str">
        <f t="shared" si="0"/>
        <v>Oskar Sepp</v>
      </c>
      <c r="AF14" s="830">
        <f ca="1">IFERROR(INDEX(Reit!$I:$I,MATCH(AE14,Reit!$F:$F,0)),"")</f>
        <v>330</v>
      </c>
      <c r="AG14" s="652"/>
    </row>
    <row r="15" spans="1:33" hidden="1" x14ac:dyDescent="0.2">
      <c r="A15" s="685">
        <v>8</v>
      </c>
      <c r="B15" s="696" t="s">
        <v>252</v>
      </c>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1"/>
        <v>0</v>
      </c>
      <c r="X15" s="692"/>
      <c r="Y15" s="687">
        <f t="shared" si="2"/>
        <v>0</v>
      </c>
      <c r="Z15" s="688" t="s">
        <v>377</v>
      </c>
      <c r="AA15" s="693">
        <f t="shared" si="3"/>
        <v>0</v>
      </c>
      <c r="AB15" s="694">
        <f t="shared" si="4"/>
        <v>0</v>
      </c>
      <c r="AC15" s="695"/>
      <c r="AD15" s="676">
        <f t="shared" ca="1" si="5"/>
        <v>55</v>
      </c>
      <c r="AE15" s="829" t="str">
        <f t="shared" si="0"/>
        <v>Lemmit Toomra</v>
      </c>
      <c r="AF15" s="830">
        <f ca="1">IFERROR(INDEX(Reit!$I:$I,MATCH(AE15,Reit!$F:$F,0)),"")</f>
        <v>55</v>
      </c>
      <c r="AG15" s="652"/>
    </row>
    <row r="16" spans="1:33" hidden="1" x14ac:dyDescent="0.2">
      <c r="A16" s="685">
        <v>9</v>
      </c>
      <c r="B16" s="686" t="s">
        <v>225</v>
      </c>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1"/>
        <v>0</v>
      </c>
      <c r="X16" s="692"/>
      <c r="Y16" s="687">
        <f t="shared" si="2"/>
        <v>0</v>
      </c>
      <c r="Z16" s="688" t="s">
        <v>377</v>
      </c>
      <c r="AA16" s="693">
        <f t="shared" si="3"/>
        <v>0</v>
      </c>
      <c r="AB16" s="694">
        <f t="shared" si="4"/>
        <v>0</v>
      </c>
      <c r="AC16" s="695"/>
      <c r="AD16" s="676">
        <f t="shared" ca="1" si="5"/>
        <v>258</v>
      </c>
      <c r="AE16" s="829" t="str">
        <f t="shared" si="0"/>
        <v>Kenneth Muusikus</v>
      </c>
      <c r="AF16" s="830">
        <f ca="1">IFERROR(INDEX(Reit!$I:$I,MATCH(AE16,Reit!$F:$F,0)),"")</f>
        <v>258</v>
      </c>
      <c r="AG16" s="652"/>
    </row>
    <row r="17" spans="1:33" hidden="1" x14ac:dyDescent="0.2">
      <c r="A17" s="685">
        <v>10</v>
      </c>
      <c r="B17" s="686" t="s">
        <v>20</v>
      </c>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1"/>
        <v>0</v>
      </c>
      <c r="X17" s="692"/>
      <c r="Y17" s="687">
        <f t="shared" si="2"/>
        <v>0</v>
      </c>
      <c r="Z17" s="688" t="s">
        <v>377</v>
      </c>
      <c r="AA17" s="693">
        <f t="shared" si="3"/>
        <v>0</v>
      </c>
      <c r="AB17" s="694">
        <f t="shared" si="4"/>
        <v>0</v>
      </c>
      <c r="AC17" s="695"/>
      <c r="AD17" s="676">
        <f t="shared" ca="1" si="5"/>
        <v>364</v>
      </c>
      <c r="AE17" s="829" t="str">
        <f t="shared" si="0"/>
        <v>Ivar Viljaste</v>
      </c>
      <c r="AF17" s="830">
        <f ca="1">IFERROR(INDEX(Reit!$I:$I,MATCH(AE17,Reit!$F:$F,0)),"")</f>
        <v>364</v>
      </c>
      <c r="AG17" s="652"/>
    </row>
    <row r="18" spans="1:33" hidden="1" x14ac:dyDescent="0.2">
      <c r="A18" s="685">
        <v>11</v>
      </c>
      <c r="B18" s="696" t="s">
        <v>231</v>
      </c>
      <c r="C18" s="687"/>
      <c r="D18" s="688" t="s">
        <v>377</v>
      </c>
      <c r="E18" s="689"/>
      <c r="F18" s="690"/>
      <c r="G18" s="687"/>
      <c r="H18" s="688" t="s">
        <v>377</v>
      </c>
      <c r="I18" s="689"/>
      <c r="J18" s="690"/>
      <c r="K18" s="687"/>
      <c r="L18" s="688" t="s">
        <v>377</v>
      </c>
      <c r="M18" s="689"/>
      <c r="N18" s="690"/>
      <c r="O18" s="687"/>
      <c r="P18" s="688" t="s">
        <v>377</v>
      </c>
      <c r="Q18" s="689"/>
      <c r="R18" s="690"/>
      <c r="S18" s="687"/>
      <c r="T18" s="688" t="s">
        <v>377</v>
      </c>
      <c r="U18" s="689"/>
      <c r="V18" s="690"/>
      <c r="W18" s="691">
        <f t="shared" si="1"/>
        <v>0</v>
      </c>
      <c r="X18" s="692"/>
      <c r="Y18" s="687">
        <f t="shared" si="2"/>
        <v>0</v>
      </c>
      <c r="Z18" s="688" t="s">
        <v>377</v>
      </c>
      <c r="AA18" s="693">
        <f t="shared" si="3"/>
        <v>0</v>
      </c>
      <c r="AB18" s="694">
        <f t="shared" si="4"/>
        <v>0</v>
      </c>
      <c r="AC18" s="695"/>
      <c r="AD18" s="676">
        <f t="shared" ca="1" si="5"/>
        <v>190</v>
      </c>
      <c r="AE18" s="829" t="str">
        <f t="shared" si="0"/>
        <v>Boriss Klubov</v>
      </c>
      <c r="AF18" s="830">
        <f ca="1">IFERROR(INDEX(Reit!$I:$I,MATCH(AE18,Reit!$F:$F,0)),"")</f>
        <v>190</v>
      </c>
      <c r="AG18" s="652"/>
    </row>
    <row r="19" spans="1:33" hidden="1" x14ac:dyDescent="0.2">
      <c r="A19" s="685">
        <v>12</v>
      </c>
      <c r="B19" s="696" t="s">
        <v>224</v>
      </c>
      <c r="C19" s="687"/>
      <c r="D19" s="688" t="s">
        <v>377</v>
      </c>
      <c r="E19" s="689"/>
      <c r="F19" s="690"/>
      <c r="G19" s="687"/>
      <c r="H19" s="688" t="s">
        <v>377</v>
      </c>
      <c r="I19" s="689"/>
      <c r="J19" s="690"/>
      <c r="K19" s="687"/>
      <c r="L19" s="688" t="s">
        <v>377</v>
      </c>
      <c r="M19" s="689"/>
      <c r="N19" s="690"/>
      <c r="O19" s="687"/>
      <c r="P19" s="688" t="s">
        <v>377</v>
      </c>
      <c r="Q19" s="689"/>
      <c r="R19" s="690"/>
      <c r="S19" s="687"/>
      <c r="T19" s="688" t="s">
        <v>377</v>
      </c>
      <c r="U19" s="689"/>
      <c r="V19" s="690"/>
      <c r="W19" s="691">
        <f t="shared" si="1"/>
        <v>0</v>
      </c>
      <c r="X19" s="692"/>
      <c r="Y19" s="687">
        <f t="shared" si="2"/>
        <v>0</v>
      </c>
      <c r="Z19" s="688" t="s">
        <v>377</v>
      </c>
      <c r="AA19" s="693">
        <f t="shared" si="3"/>
        <v>0</v>
      </c>
      <c r="AB19" s="694">
        <f t="shared" si="4"/>
        <v>0</v>
      </c>
      <c r="AC19" s="695"/>
      <c r="AD19" s="676">
        <f t="shared" ca="1" si="5"/>
        <v>258</v>
      </c>
      <c r="AE19" s="829" t="str">
        <f t="shared" si="0"/>
        <v>Elmo Lageda</v>
      </c>
      <c r="AF19" s="830">
        <f ca="1">IFERROR(INDEX(Reit!$I:$I,MATCH(AE19,Reit!$F:$F,0)),"")</f>
        <v>258</v>
      </c>
      <c r="AG19" s="652"/>
    </row>
    <row r="20" spans="1:33" hidden="1" x14ac:dyDescent="0.2">
      <c r="A20" s="685">
        <v>13</v>
      </c>
      <c r="B20" s="686" t="s">
        <v>257</v>
      </c>
      <c r="C20" s="687"/>
      <c r="D20" s="688" t="s">
        <v>377</v>
      </c>
      <c r="E20" s="689"/>
      <c r="F20" s="690"/>
      <c r="G20" s="687"/>
      <c r="H20" s="688" t="s">
        <v>377</v>
      </c>
      <c r="I20" s="689"/>
      <c r="J20" s="690"/>
      <c r="K20" s="687"/>
      <c r="L20" s="688" t="s">
        <v>377</v>
      </c>
      <c r="M20" s="689"/>
      <c r="N20" s="690"/>
      <c r="O20" s="687"/>
      <c r="P20" s="688" t="s">
        <v>377</v>
      </c>
      <c r="Q20" s="689"/>
      <c r="R20" s="690"/>
      <c r="S20" s="687"/>
      <c r="T20" s="688" t="s">
        <v>377</v>
      </c>
      <c r="U20" s="689"/>
      <c r="V20" s="690"/>
      <c r="W20" s="691">
        <f t="shared" si="1"/>
        <v>0</v>
      </c>
      <c r="X20" s="692"/>
      <c r="Y20" s="687">
        <f t="shared" si="2"/>
        <v>0</v>
      </c>
      <c r="Z20" s="688" t="s">
        <v>377</v>
      </c>
      <c r="AA20" s="693">
        <f t="shared" si="3"/>
        <v>0</v>
      </c>
      <c r="AB20" s="694">
        <f t="shared" si="4"/>
        <v>0</v>
      </c>
      <c r="AC20" s="695"/>
      <c r="AD20" s="676">
        <f t="shared" ca="1" si="5"/>
        <v>46</v>
      </c>
      <c r="AE20" s="829" t="str">
        <f t="shared" si="0"/>
        <v>Liidia Põllu</v>
      </c>
      <c r="AF20" s="830">
        <f ca="1">IFERROR(INDEX(Reit!$I:$I,MATCH(AE20,Reit!$F:$F,0)),"")</f>
        <v>46</v>
      </c>
      <c r="AG20" s="652"/>
    </row>
    <row r="21" spans="1:33" hidden="1" x14ac:dyDescent="0.2">
      <c r="A21" s="685">
        <v>14</v>
      </c>
      <c r="B21" s="696" t="s">
        <v>255</v>
      </c>
      <c r="C21" s="687"/>
      <c r="D21" s="688" t="s">
        <v>377</v>
      </c>
      <c r="E21" s="689"/>
      <c r="F21" s="690"/>
      <c r="G21" s="687"/>
      <c r="H21" s="688" t="s">
        <v>377</v>
      </c>
      <c r="I21" s="689"/>
      <c r="J21" s="690"/>
      <c r="K21" s="687"/>
      <c r="L21" s="688" t="s">
        <v>377</v>
      </c>
      <c r="M21" s="689"/>
      <c r="N21" s="690"/>
      <c r="O21" s="687"/>
      <c r="P21" s="688" t="s">
        <v>377</v>
      </c>
      <c r="Q21" s="689"/>
      <c r="R21" s="690"/>
      <c r="S21" s="687"/>
      <c r="T21" s="688" t="s">
        <v>377</v>
      </c>
      <c r="U21" s="689"/>
      <c r="V21" s="690"/>
      <c r="W21" s="691">
        <f t="shared" si="1"/>
        <v>0</v>
      </c>
      <c r="X21" s="692"/>
      <c r="Y21" s="687">
        <f t="shared" si="2"/>
        <v>0</v>
      </c>
      <c r="Z21" s="688" t="s">
        <v>377</v>
      </c>
      <c r="AA21" s="693">
        <f t="shared" si="3"/>
        <v>0</v>
      </c>
      <c r="AB21" s="694">
        <f t="shared" si="4"/>
        <v>0</v>
      </c>
      <c r="AC21" s="695"/>
      <c r="AD21" s="676">
        <f t="shared" ca="1" si="5"/>
        <v>51</v>
      </c>
      <c r="AE21" s="829" t="str">
        <f t="shared" si="0"/>
        <v>Jaan Saar</v>
      </c>
      <c r="AF21" s="830">
        <f ca="1">IFERROR(INDEX(Reit!$I:$I,MATCH(AE21,Reit!$F:$F,0)),"")</f>
        <v>51</v>
      </c>
      <c r="AG21" s="652"/>
    </row>
    <row r="22" spans="1:33" hidden="1" x14ac:dyDescent="0.2">
      <c r="A22" s="685">
        <v>15</v>
      </c>
      <c r="B22" s="696" t="s">
        <v>233</v>
      </c>
      <c r="C22" s="687"/>
      <c r="D22" s="688" t="s">
        <v>377</v>
      </c>
      <c r="E22" s="689"/>
      <c r="F22" s="690"/>
      <c r="G22" s="687"/>
      <c r="H22" s="688" t="s">
        <v>377</v>
      </c>
      <c r="I22" s="689"/>
      <c r="J22" s="690"/>
      <c r="K22" s="687"/>
      <c r="L22" s="688" t="s">
        <v>377</v>
      </c>
      <c r="M22" s="689"/>
      <c r="N22" s="690"/>
      <c r="O22" s="687"/>
      <c r="P22" s="688" t="s">
        <v>377</v>
      </c>
      <c r="Q22" s="689"/>
      <c r="R22" s="690"/>
      <c r="S22" s="687"/>
      <c r="T22" s="688" t="s">
        <v>377</v>
      </c>
      <c r="U22" s="689"/>
      <c r="V22" s="690"/>
      <c r="W22" s="691">
        <f t="shared" si="1"/>
        <v>0</v>
      </c>
      <c r="X22" s="692"/>
      <c r="Y22" s="687">
        <f t="shared" si="2"/>
        <v>0</v>
      </c>
      <c r="Z22" s="688" t="s">
        <v>377</v>
      </c>
      <c r="AA22" s="693">
        <f t="shared" si="3"/>
        <v>0</v>
      </c>
      <c r="AB22" s="694">
        <f t="shared" si="4"/>
        <v>0</v>
      </c>
      <c r="AC22" s="695"/>
      <c r="AD22" s="676">
        <f t="shared" ca="1" si="5"/>
        <v>160</v>
      </c>
      <c r="AE22" s="829" t="str">
        <f t="shared" si="0"/>
        <v>Svetlana Veski</v>
      </c>
      <c r="AF22" s="830">
        <f ca="1">IFERROR(INDEX(Reit!$I:$I,MATCH(AE22,Reit!$F:$F,0)),"")</f>
        <v>160</v>
      </c>
      <c r="AG22" s="652"/>
    </row>
    <row r="23" spans="1:33" hidden="1" x14ac:dyDescent="0.2">
      <c r="A23" s="685">
        <v>16</v>
      </c>
      <c r="B23" s="686" t="s">
        <v>232</v>
      </c>
      <c r="C23" s="687"/>
      <c r="D23" s="688" t="s">
        <v>377</v>
      </c>
      <c r="E23" s="689"/>
      <c r="F23" s="690"/>
      <c r="G23" s="687"/>
      <c r="H23" s="688" t="s">
        <v>377</v>
      </c>
      <c r="I23" s="689"/>
      <c r="J23" s="690"/>
      <c r="K23" s="687"/>
      <c r="L23" s="688" t="s">
        <v>377</v>
      </c>
      <c r="M23" s="689"/>
      <c r="N23" s="690"/>
      <c r="O23" s="687"/>
      <c r="P23" s="688" t="s">
        <v>377</v>
      </c>
      <c r="Q23" s="689"/>
      <c r="R23" s="690"/>
      <c r="S23" s="687"/>
      <c r="T23" s="688" t="s">
        <v>377</v>
      </c>
      <c r="U23" s="689"/>
      <c r="V23" s="690"/>
      <c r="W23" s="691">
        <f t="shared" si="1"/>
        <v>0</v>
      </c>
      <c r="X23" s="692"/>
      <c r="Y23" s="687">
        <f t="shared" si="2"/>
        <v>0</v>
      </c>
      <c r="Z23" s="688" t="s">
        <v>377</v>
      </c>
      <c r="AA23" s="693">
        <f t="shared" si="3"/>
        <v>0</v>
      </c>
      <c r="AB23" s="694">
        <f t="shared" si="4"/>
        <v>0</v>
      </c>
      <c r="AC23" s="695"/>
      <c r="AD23" s="676">
        <f t="shared" ca="1" si="5"/>
        <v>168</v>
      </c>
      <c r="AE23" s="829" t="str">
        <f t="shared" si="0"/>
        <v>Andrei Grintšak</v>
      </c>
      <c r="AF23" s="830">
        <f ca="1">IFERROR(INDEX(Reit!$I:$I,MATCH(AE23,Reit!$F:$F,0)),"")</f>
        <v>168</v>
      </c>
      <c r="AG23" s="652"/>
    </row>
    <row r="24" spans="1:33" hidden="1" x14ac:dyDescent="0.2">
      <c r="A24" s="685">
        <v>17</v>
      </c>
      <c r="B24" s="696" t="s">
        <v>260</v>
      </c>
      <c r="C24" s="687"/>
      <c r="D24" s="688" t="s">
        <v>377</v>
      </c>
      <c r="E24" s="689"/>
      <c r="F24" s="690"/>
      <c r="G24" s="687"/>
      <c r="H24" s="688" t="s">
        <v>377</v>
      </c>
      <c r="I24" s="689"/>
      <c r="J24" s="690"/>
      <c r="K24" s="687"/>
      <c r="L24" s="688" t="s">
        <v>377</v>
      </c>
      <c r="M24" s="689"/>
      <c r="N24" s="690"/>
      <c r="O24" s="687"/>
      <c r="P24" s="688" t="s">
        <v>377</v>
      </c>
      <c r="Q24" s="689"/>
      <c r="R24" s="690"/>
      <c r="S24" s="687"/>
      <c r="T24" s="688" t="s">
        <v>377</v>
      </c>
      <c r="U24" s="689"/>
      <c r="V24" s="690"/>
      <c r="W24" s="691">
        <f t="shared" si="1"/>
        <v>0</v>
      </c>
      <c r="X24" s="692"/>
      <c r="Y24" s="687">
        <f t="shared" si="2"/>
        <v>0</v>
      </c>
      <c r="Z24" s="688" t="s">
        <v>377</v>
      </c>
      <c r="AA24" s="693">
        <f t="shared" si="3"/>
        <v>0</v>
      </c>
      <c r="AB24" s="694">
        <f t="shared" si="4"/>
        <v>0</v>
      </c>
      <c r="AC24" s="695"/>
      <c r="AD24" s="676">
        <f t="shared" ca="1" si="5"/>
        <v>37</v>
      </c>
      <c r="AE24" s="829" t="str">
        <f t="shared" si="0"/>
        <v>Urmas Jõeäär</v>
      </c>
      <c r="AF24" s="830">
        <f ca="1">IFERROR(INDEX(Reit!$I:$I,MATCH(AE24,Reit!$F:$F,0)),"")</f>
        <v>37</v>
      </c>
      <c r="AG24" s="652"/>
    </row>
    <row r="25" spans="1:33" hidden="1" x14ac:dyDescent="0.2">
      <c r="A25" s="685">
        <v>18</v>
      </c>
      <c r="B25" s="696" t="s">
        <v>262</v>
      </c>
      <c r="C25" s="687"/>
      <c r="D25" s="688" t="s">
        <v>377</v>
      </c>
      <c r="E25" s="689"/>
      <c r="F25" s="690"/>
      <c r="G25" s="687"/>
      <c r="H25" s="688" t="s">
        <v>377</v>
      </c>
      <c r="I25" s="689"/>
      <c r="J25" s="690"/>
      <c r="K25" s="687"/>
      <c r="L25" s="688" t="s">
        <v>377</v>
      </c>
      <c r="M25" s="689"/>
      <c r="N25" s="690"/>
      <c r="O25" s="687"/>
      <c r="P25" s="688" t="s">
        <v>377</v>
      </c>
      <c r="Q25" s="689"/>
      <c r="R25" s="690"/>
      <c r="S25" s="687"/>
      <c r="T25" s="688" t="s">
        <v>377</v>
      </c>
      <c r="U25" s="689"/>
      <c r="V25" s="690"/>
      <c r="W25" s="691">
        <f t="shared" si="1"/>
        <v>0</v>
      </c>
      <c r="X25" s="692"/>
      <c r="Y25" s="687">
        <f t="shared" si="2"/>
        <v>0</v>
      </c>
      <c r="Z25" s="688" t="s">
        <v>377</v>
      </c>
      <c r="AA25" s="693">
        <f t="shared" si="3"/>
        <v>0</v>
      </c>
      <c r="AB25" s="694">
        <f t="shared" si="4"/>
        <v>0</v>
      </c>
      <c r="AC25" s="695"/>
      <c r="AD25" s="676">
        <f t="shared" ca="1" si="5"/>
        <v>29</v>
      </c>
      <c r="AE25" s="829" t="str">
        <f t="shared" si="0"/>
        <v>Tarmo Bombe</v>
      </c>
      <c r="AF25" s="830">
        <f ca="1">IFERROR(INDEX(Reit!$I:$I,MATCH(AE25,Reit!$F:$F,0)),"")</f>
        <v>29</v>
      </c>
      <c r="AG25" s="652"/>
    </row>
    <row r="26" spans="1:33" hidden="1" x14ac:dyDescent="0.2">
      <c r="A26" s="685">
        <v>19</v>
      </c>
      <c r="B26" s="686" t="s">
        <v>259</v>
      </c>
      <c r="C26" s="687"/>
      <c r="D26" s="688" t="s">
        <v>377</v>
      </c>
      <c r="E26" s="689"/>
      <c r="F26" s="690"/>
      <c r="G26" s="687"/>
      <c r="H26" s="688" t="s">
        <v>377</v>
      </c>
      <c r="I26" s="689"/>
      <c r="J26" s="690"/>
      <c r="K26" s="687"/>
      <c r="L26" s="688" t="s">
        <v>377</v>
      </c>
      <c r="M26" s="689"/>
      <c r="N26" s="690"/>
      <c r="O26" s="687"/>
      <c r="P26" s="688" t="s">
        <v>377</v>
      </c>
      <c r="Q26" s="689"/>
      <c r="R26" s="690"/>
      <c r="S26" s="687"/>
      <c r="T26" s="688" t="s">
        <v>377</v>
      </c>
      <c r="U26" s="689"/>
      <c r="V26" s="690"/>
      <c r="W26" s="691">
        <f t="shared" si="1"/>
        <v>0</v>
      </c>
      <c r="X26" s="692"/>
      <c r="Y26" s="687">
        <f t="shared" si="2"/>
        <v>0</v>
      </c>
      <c r="Z26" s="688" t="s">
        <v>377</v>
      </c>
      <c r="AA26" s="693">
        <f t="shared" si="3"/>
        <v>0</v>
      </c>
      <c r="AB26" s="694">
        <f t="shared" si="4"/>
        <v>0</v>
      </c>
      <c r="AC26" s="695"/>
      <c r="AD26" s="676">
        <f t="shared" ca="1" si="5"/>
        <v>39</v>
      </c>
      <c r="AE26" s="829" t="str">
        <f t="shared" si="0"/>
        <v>Illar Tõnurist</v>
      </c>
      <c r="AF26" s="830">
        <f ca="1">IFERROR(INDEX(Reit!$I:$I,MATCH(AE26,Reit!$F:$F,0)),"")</f>
        <v>39</v>
      </c>
      <c r="AG26" s="652"/>
    </row>
    <row r="27" spans="1:33" hidden="1" x14ac:dyDescent="0.2">
      <c r="A27" s="685">
        <v>20</v>
      </c>
      <c r="B27" s="696" t="s">
        <v>269</v>
      </c>
      <c r="C27" s="687"/>
      <c r="D27" s="688" t="s">
        <v>377</v>
      </c>
      <c r="E27" s="689"/>
      <c r="F27" s="690"/>
      <c r="G27" s="687"/>
      <c r="H27" s="688" t="s">
        <v>377</v>
      </c>
      <c r="I27" s="689"/>
      <c r="J27" s="690"/>
      <c r="K27" s="687"/>
      <c r="L27" s="688" t="s">
        <v>377</v>
      </c>
      <c r="M27" s="689"/>
      <c r="N27" s="690"/>
      <c r="O27" s="687"/>
      <c r="P27" s="688" t="s">
        <v>377</v>
      </c>
      <c r="Q27" s="689"/>
      <c r="R27" s="690"/>
      <c r="S27" s="687"/>
      <c r="T27" s="688" t="s">
        <v>377</v>
      </c>
      <c r="U27" s="689"/>
      <c r="V27" s="690"/>
      <c r="W27" s="691">
        <f t="shared" si="1"/>
        <v>0</v>
      </c>
      <c r="X27" s="692"/>
      <c r="Y27" s="687">
        <f t="shared" si="2"/>
        <v>0</v>
      </c>
      <c r="Z27" s="688" t="s">
        <v>377</v>
      </c>
      <c r="AA27" s="693">
        <f t="shared" si="3"/>
        <v>0</v>
      </c>
      <c r="AB27" s="694">
        <f t="shared" si="4"/>
        <v>0</v>
      </c>
      <c r="AC27" s="695"/>
      <c r="AD27" s="676">
        <f t="shared" ca="1" si="5"/>
        <v>17</v>
      </c>
      <c r="AE27" s="829" t="str">
        <f t="shared" si="0"/>
        <v>Vladimir Mihhailov</v>
      </c>
      <c r="AF27" s="830">
        <f ca="1">IFERROR(INDEX(Reit!$I:$I,MATCH(AE27,Reit!$F:$F,0)),"")</f>
        <v>17</v>
      </c>
      <c r="AG27" s="652"/>
    </row>
    <row r="28" spans="1:33" hidden="1" x14ac:dyDescent="0.2">
      <c r="A28" s="685">
        <v>21</v>
      </c>
      <c r="B28" s="686" t="s">
        <v>268</v>
      </c>
      <c r="C28" s="687"/>
      <c r="D28" s="688" t="s">
        <v>377</v>
      </c>
      <c r="E28" s="689"/>
      <c r="F28" s="690"/>
      <c r="G28" s="687"/>
      <c r="H28" s="688" t="s">
        <v>377</v>
      </c>
      <c r="I28" s="689"/>
      <c r="J28" s="690"/>
      <c r="K28" s="687"/>
      <c r="L28" s="688" t="s">
        <v>377</v>
      </c>
      <c r="M28" s="689"/>
      <c r="N28" s="690"/>
      <c r="O28" s="687"/>
      <c r="P28" s="688" t="s">
        <v>377</v>
      </c>
      <c r="Q28" s="689"/>
      <c r="R28" s="690"/>
      <c r="S28" s="687"/>
      <c r="T28" s="688" t="s">
        <v>377</v>
      </c>
      <c r="U28" s="689"/>
      <c r="V28" s="690"/>
      <c r="W28" s="691">
        <f>IF(C28&gt;E28,J$3,IF(C28&lt;E28,J$5,IF(ISNUMBER(C28),J$4,0)))+IF(G28&gt;I28,J$3,IF(G28&lt;I28,J$5,IF(ISNUMBER(G28),J$4,0)))+IF(K28&gt;M28,J$3,IF(K28&lt;M28,J$5,IF(ISNUMBER(K28),J$4,0)))+IF(O28&gt;Q28,J$3,IF(O28&lt;Q28,J$5,IF(ISNUMBER(O28),J$4,0)))+IF(S28&gt;U28,J$3,IF(S28&lt;U28,J$5,IF(ISNUMBER(S28),J$4,0)))</f>
        <v>0</v>
      </c>
      <c r="X28" s="692"/>
      <c r="Y28" s="687">
        <f>C28+G28+K28+O28+S28</f>
        <v>0</v>
      </c>
      <c r="Z28" s="688" t="s">
        <v>377</v>
      </c>
      <c r="AA28" s="693">
        <f>E28+I28+M28+Q28+U28</f>
        <v>0</v>
      </c>
      <c r="AB28" s="694">
        <f>Y28-AA28</f>
        <v>0</v>
      </c>
      <c r="AC28" s="695"/>
      <c r="AD28" s="676">
        <f t="shared" ca="1" si="5"/>
        <v>21</v>
      </c>
      <c r="AE28" s="829" t="str">
        <f t="shared" si="0"/>
        <v>Sirje Viljaste</v>
      </c>
      <c r="AF28" s="830">
        <f ca="1">IFERROR(INDEX(Reit!$I:$I,MATCH(AE28,Reit!$F:$F,0)),"")</f>
        <v>21</v>
      </c>
      <c r="AG28" s="652"/>
    </row>
    <row r="29" spans="1:33" hidden="1" x14ac:dyDescent="0.2">
      <c r="A29" s="685">
        <v>22</v>
      </c>
      <c r="B29" s="696" t="s">
        <v>223</v>
      </c>
      <c r="C29" s="687"/>
      <c r="D29" s="688" t="s">
        <v>377</v>
      </c>
      <c r="E29" s="689"/>
      <c r="F29" s="690"/>
      <c r="G29" s="687"/>
      <c r="H29" s="688" t="s">
        <v>377</v>
      </c>
      <c r="I29" s="689"/>
      <c r="J29" s="690"/>
      <c r="K29" s="687"/>
      <c r="L29" s="688" t="s">
        <v>377</v>
      </c>
      <c r="M29" s="689"/>
      <c r="N29" s="690"/>
      <c r="O29" s="687"/>
      <c r="P29" s="688" t="s">
        <v>377</v>
      </c>
      <c r="Q29" s="689"/>
      <c r="R29" s="690"/>
      <c r="S29" s="687"/>
      <c r="T29" s="688" t="s">
        <v>377</v>
      </c>
      <c r="U29" s="689"/>
      <c r="V29" s="690"/>
      <c r="W29" s="691">
        <f>IF(C29&gt;E29,J$3,IF(C29&lt;E29,J$5,IF(ISNUMBER(C29),J$4,0)))+IF(G29&gt;I29,J$3,IF(G29&lt;I29,J$5,IF(ISNUMBER(G29),J$4,0)))+IF(K29&gt;M29,J$3,IF(K29&lt;M29,J$5,IF(ISNUMBER(K29),J$4,0)))+IF(O29&gt;Q29,J$3,IF(O29&lt;Q29,J$5,IF(ISNUMBER(O29),J$4,0)))+IF(S29&gt;U29,J$3,IF(S29&lt;U29,J$5,IF(ISNUMBER(S29),J$4,0)))</f>
        <v>0</v>
      </c>
      <c r="X29" s="692"/>
      <c r="Y29" s="687">
        <f>C29+G29+K29+O29+S29</f>
        <v>0</v>
      </c>
      <c r="Z29" s="688" t="s">
        <v>377</v>
      </c>
      <c r="AA29" s="693">
        <f>E29+I29+M29+Q29+U29</f>
        <v>0</v>
      </c>
      <c r="AB29" s="694">
        <f>Y29-AA29</f>
        <v>0</v>
      </c>
      <c r="AC29" s="695"/>
      <c r="AD29" s="676">
        <f t="shared" ca="1" si="5"/>
        <v>258</v>
      </c>
      <c r="AE29" s="829" t="str">
        <f t="shared" si="0"/>
        <v>Oleg Rõndenkov</v>
      </c>
      <c r="AF29" s="830">
        <f ca="1">IFERROR(INDEX(Reit!$I:$I,MATCH(AE29,Reit!$F:$F,0)),"")</f>
        <v>258</v>
      </c>
      <c r="AG29" s="652"/>
    </row>
    <row r="30" spans="1:33"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row>
    <row r="31" spans="1:33"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row>
    <row r="32" spans="1:33"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row>
    <row r="33" spans="1:33"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row>
    <row r="34" spans="1:33"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row>
    <row r="35" spans="1:33"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row>
    <row r="36" spans="1:33"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row>
    <row r="37" spans="1:33"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row>
    <row r="38" spans="1:33"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row>
    <row r="39" spans="1:33"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row>
    <row r="40" spans="1:33"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row>
    <row r="41" spans="1:33"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row>
    <row r="42" spans="1:33"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row>
    <row r="43" spans="1:33"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row>
    <row r="44" spans="1:33"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row>
    <row r="45" spans="1:33"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row>
    <row r="46" spans="1:33"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row>
    <row r="47" spans="1:33"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row>
    <row r="48" spans="1:33"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row>
    <row r="49" spans="1:33"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row>
    <row r="50" spans="1:33"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row>
    <row r="51" spans="1:33"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row>
    <row r="52" spans="1:33"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row>
    <row r="53" spans="1:33"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row>
    <row r="54" spans="1:33"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row>
    <row r="55" spans="1:33"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row>
    <row r="56" spans="1:33"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row>
    <row r="57" spans="1:33"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row>
    <row r="58" spans="1:33"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row>
    <row r="59" spans="1:33"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row>
    <row r="60" spans="1:33"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row>
    <row r="61" spans="1:33"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row>
    <row r="62" spans="1:33"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row>
    <row r="63" spans="1:33"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row>
    <row r="64" spans="1:33"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row>
    <row r="65" spans="1:33"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row>
    <row r="66" spans="1:33"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row>
    <row r="67" spans="1:33"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row>
    <row r="68" spans="1:33"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row>
    <row r="69" spans="1:33"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row>
    <row r="70" spans="1:33"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row>
    <row r="71" spans="1:33"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row>
    <row r="72" spans="1:33"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row>
    <row r="73" spans="1:33"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row>
    <row r="74" spans="1:33"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row>
    <row r="75" spans="1:33"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row>
    <row r="76" spans="1:33"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row>
    <row r="77" spans="1:33"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row>
    <row r="78" spans="1:33"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row>
    <row r="79" spans="1:33"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row>
    <row r="80" spans="1:33"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row>
    <row r="81" spans="1:33"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row>
    <row r="82" spans="1:33"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row>
    <row r="83" spans="1:33"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row>
    <row r="84" spans="1:33"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row>
    <row r="85" spans="1:33"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row>
    <row r="86" spans="1:33"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row>
    <row r="87" spans="1:33"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row>
    <row r="88" spans="1:33"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row>
    <row r="89" spans="1:33"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row>
    <row r="90" spans="1:33"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row>
    <row r="91" spans="1:33"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row>
    <row r="92" spans="1:33"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row>
    <row r="93" spans="1:33"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row>
    <row r="94" spans="1:33"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row>
    <row r="95" spans="1:33"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row>
    <row r="96" spans="1:33"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row>
    <row r="97" spans="1:33"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row>
    <row r="98" spans="1:33"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row>
    <row r="99" spans="1:33"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row>
    <row r="100" spans="1:33"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row>
    <row r="101" spans="1:33"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row>
    <row r="102" spans="1:33"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row>
    <row r="103" spans="1:33"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row>
    <row r="104" spans="1:33"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row>
    <row r="105" spans="1:33"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row>
    <row r="106" spans="1:33"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row>
    <row r="107" spans="1:33"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row>
    <row r="108" spans="1:33"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row>
    <row r="109" spans="1:33"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row>
    <row r="110" spans="1:33"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row>
    <row r="111" spans="1:33"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row>
    <row r="112" spans="1:33"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row>
    <row r="113" spans="1:33"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row>
    <row r="114" spans="1:33"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row>
    <row r="115" spans="1:33"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row>
    <row r="116" spans="1:33"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row>
    <row r="117" spans="1:33"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row>
    <row r="118" spans="1:33"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row>
    <row r="119" spans="1:33"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row>
    <row r="120" spans="1:33"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row>
    <row r="121" spans="1:33"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row>
    <row r="122" spans="1:33"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row>
    <row r="123" spans="1:33"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row>
    <row r="124" spans="1:33"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row>
    <row r="125" spans="1:33"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row>
    <row r="126" spans="1:33"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row>
    <row r="127" spans="1:33"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row>
    <row r="128" spans="1:33"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row>
    <row r="129" spans="1:33"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row>
    <row r="130" spans="1:33"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row>
    <row r="131" spans="1:33"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row>
    <row r="132" spans="1:33"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row>
    <row r="133" spans="1:33"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row>
    <row r="134" spans="1:33" hidden="1" x14ac:dyDescent="0.2">
      <c r="A134" s="652"/>
      <c r="B134" s="652"/>
      <c r="C134" s="652"/>
      <c r="D134" s="652"/>
      <c r="E134" s="652"/>
      <c r="F134" s="652"/>
      <c r="G134" s="652"/>
      <c r="H134" s="652"/>
      <c r="I134" s="652"/>
      <c r="J134" s="652"/>
      <c r="K134" s="652"/>
      <c r="L134" s="652"/>
      <c r="M134" s="652"/>
      <c r="N134" s="652"/>
      <c r="O134" s="652"/>
      <c r="P134" s="652"/>
      <c r="Q134" s="652"/>
      <c r="R134" s="652"/>
      <c r="S134" s="652"/>
      <c r="T134" s="652"/>
      <c r="U134" s="652"/>
      <c r="V134" s="652"/>
      <c r="W134" s="652"/>
      <c r="X134" s="652"/>
      <c r="Y134" s="652"/>
      <c r="Z134" s="652"/>
      <c r="AA134" s="652"/>
      <c r="AB134" s="652"/>
      <c r="AC134" s="652"/>
      <c r="AD134" s="652"/>
      <c r="AE134" s="652"/>
      <c r="AF134" s="652"/>
      <c r="AG134" s="652"/>
    </row>
    <row r="135" spans="1:33" hidden="1" x14ac:dyDescent="0.2">
      <c r="A135" s="652"/>
      <c r="B135" s="652"/>
      <c r="C135" s="652"/>
      <c r="D135" s="652"/>
      <c r="E135" s="652"/>
      <c r="F135" s="652"/>
      <c r="G135" s="652"/>
      <c r="H135" s="652"/>
      <c r="I135" s="652"/>
      <c r="J135" s="652"/>
      <c r="K135" s="652"/>
      <c r="L135" s="652"/>
      <c r="M135" s="652"/>
      <c r="N135" s="652"/>
      <c r="O135" s="652"/>
      <c r="P135" s="652"/>
      <c r="Q135" s="652"/>
      <c r="R135" s="652"/>
      <c r="S135" s="652"/>
      <c r="T135" s="652"/>
      <c r="U135" s="652"/>
      <c r="V135" s="652"/>
      <c r="W135" s="652"/>
      <c r="X135" s="652"/>
      <c r="Y135" s="652"/>
      <c r="Z135" s="652"/>
      <c r="AA135" s="652"/>
      <c r="AB135" s="652"/>
      <c r="AC135" s="652"/>
      <c r="AD135" s="652"/>
      <c r="AE135" s="652"/>
      <c r="AF135" s="652"/>
      <c r="AG135" s="652"/>
    </row>
    <row r="136" spans="1:33" hidden="1" x14ac:dyDescent="0.2">
      <c r="A136" s="652"/>
      <c r="B136" s="652"/>
      <c r="C136" s="652"/>
      <c r="D136" s="652"/>
      <c r="E136" s="652"/>
      <c r="F136" s="652"/>
      <c r="G136" s="652"/>
      <c r="H136" s="652"/>
      <c r="I136" s="652"/>
      <c r="J136" s="652"/>
      <c r="K136" s="652"/>
      <c r="L136" s="652"/>
      <c r="M136" s="652"/>
      <c r="N136" s="652"/>
      <c r="O136" s="652"/>
      <c r="P136" s="652"/>
      <c r="Q136" s="652"/>
      <c r="R136" s="652"/>
      <c r="S136" s="652"/>
      <c r="T136" s="652"/>
      <c r="U136" s="652"/>
      <c r="V136" s="652"/>
      <c r="W136" s="652"/>
      <c r="X136" s="652"/>
      <c r="Y136" s="652"/>
      <c r="Z136" s="652"/>
      <c r="AA136" s="652"/>
      <c r="AB136" s="652"/>
      <c r="AC136" s="652"/>
      <c r="AD136" s="652"/>
      <c r="AE136" s="652"/>
      <c r="AF136" s="652"/>
      <c r="AG136" s="652"/>
    </row>
    <row r="137" spans="1:33" hidden="1" x14ac:dyDescent="0.2">
      <c r="A137" s="652"/>
      <c r="B137" s="652"/>
      <c r="C137" s="652"/>
      <c r="D137" s="652"/>
      <c r="E137" s="652"/>
      <c r="F137" s="652"/>
      <c r="G137" s="652"/>
      <c r="H137" s="652"/>
      <c r="I137" s="652"/>
      <c r="J137" s="652"/>
      <c r="K137" s="652"/>
      <c r="L137" s="652"/>
      <c r="M137" s="652"/>
      <c r="N137" s="652"/>
      <c r="O137" s="652"/>
      <c r="P137" s="652"/>
      <c r="Q137" s="652"/>
      <c r="R137" s="652"/>
      <c r="S137" s="652"/>
      <c r="T137" s="652"/>
      <c r="U137" s="652"/>
      <c r="V137" s="652"/>
      <c r="W137" s="652"/>
      <c r="X137" s="652"/>
      <c r="Y137" s="652"/>
      <c r="Z137" s="652"/>
      <c r="AA137" s="652"/>
      <c r="AB137" s="652"/>
      <c r="AC137" s="652"/>
      <c r="AD137" s="652"/>
      <c r="AE137" s="652"/>
      <c r="AF137" s="652"/>
      <c r="AG137" s="652"/>
    </row>
    <row r="138" spans="1:33" hidden="1" x14ac:dyDescent="0.2">
      <c r="A138" s="652"/>
      <c r="B138" s="652"/>
      <c r="C138" s="652"/>
      <c r="D138" s="652"/>
      <c r="E138" s="652"/>
      <c r="F138" s="652"/>
      <c r="G138" s="652"/>
      <c r="H138" s="652"/>
      <c r="I138" s="652"/>
      <c r="J138" s="652"/>
      <c r="K138" s="652"/>
      <c r="L138" s="652"/>
      <c r="M138" s="652"/>
      <c r="N138" s="652"/>
      <c r="O138" s="652"/>
      <c r="P138" s="652"/>
      <c r="Q138" s="652"/>
      <c r="R138" s="652"/>
      <c r="S138" s="652"/>
      <c r="T138" s="652"/>
      <c r="U138" s="652"/>
      <c r="V138" s="652"/>
      <c r="W138" s="652"/>
      <c r="X138" s="652"/>
      <c r="Y138" s="652"/>
      <c r="Z138" s="652"/>
      <c r="AA138" s="652"/>
      <c r="AB138" s="652"/>
      <c r="AC138" s="652"/>
      <c r="AD138" s="652"/>
      <c r="AE138" s="652"/>
      <c r="AF138" s="652"/>
      <c r="AG138" s="652"/>
    </row>
    <row r="139" spans="1:33" hidden="1" x14ac:dyDescent="0.2">
      <c r="A139" s="652"/>
      <c r="B139" s="652"/>
      <c r="C139" s="652"/>
      <c r="D139" s="652"/>
      <c r="E139" s="652"/>
      <c r="F139" s="652"/>
      <c r="G139" s="652"/>
      <c r="H139" s="652"/>
      <c r="I139" s="652"/>
      <c r="J139" s="652"/>
      <c r="K139" s="652"/>
      <c r="L139" s="652"/>
      <c r="M139" s="652"/>
      <c r="N139" s="652"/>
      <c r="O139" s="652"/>
      <c r="P139" s="652"/>
      <c r="Q139" s="652"/>
      <c r="R139" s="652"/>
      <c r="S139" s="652"/>
      <c r="T139" s="652"/>
      <c r="U139" s="652"/>
      <c r="V139" s="652"/>
      <c r="W139" s="652"/>
      <c r="X139" s="652"/>
      <c r="Y139" s="652"/>
      <c r="Z139" s="652"/>
      <c r="AA139" s="652"/>
      <c r="AB139" s="652"/>
      <c r="AC139" s="652"/>
      <c r="AD139" s="652"/>
      <c r="AE139" s="652"/>
      <c r="AF139" s="652"/>
      <c r="AG139" s="652"/>
    </row>
    <row r="140" spans="1:33" hidden="1" x14ac:dyDescent="0.2">
      <c r="A140" s="652"/>
      <c r="B140" s="652"/>
      <c r="C140" s="652"/>
      <c r="D140" s="652"/>
      <c r="E140" s="652"/>
      <c r="F140" s="652"/>
      <c r="G140" s="652"/>
      <c r="H140" s="652"/>
      <c r="I140" s="652"/>
      <c r="J140" s="652"/>
      <c r="K140" s="652"/>
      <c r="L140" s="652"/>
      <c r="M140" s="652"/>
      <c r="N140" s="652"/>
      <c r="O140" s="652"/>
      <c r="P140" s="652"/>
      <c r="Q140" s="652"/>
      <c r="R140" s="652"/>
      <c r="S140" s="652"/>
      <c r="T140" s="652"/>
      <c r="U140" s="652"/>
      <c r="V140" s="652"/>
      <c r="W140" s="652"/>
      <c r="X140" s="652"/>
      <c r="Y140" s="652"/>
      <c r="Z140" s="652"/>
      <c r="AA140" s="652"/>
      <c r="AB140" s="652"/>
      <c r="AC140" s="652"/>
      <c r="AD140" s="652"/>
      <c r="AE140" s="652"/>
      <c r="AF140" s="652"/>
      <c r="AG140" s="652"/>
    </row>
    <row r="141" spans="1:33" hidden="1" x14ac:dyDescent="0.2">
      <c r="A141" s="652"/>
      <c r="B141" s="652"/>
      <c r="C141" s="652"/>
      <c r="D141" s="652"/>
      <c r="E141" s="652"/>
      <c r="F141" s="652"/>
      <c r="G141" s="652"/>
      <c r="H141" s="652"/>
      <c r="I141" s="652"/>
      <c r="J141" s="652"/>
      <c r="K141" s="652"/>
      <c r="L141" s="652"/>
      <c r="M141" s="652"/>
      <c r="N141" s="652"/>
      <c r="O141" s="652"/>
      <c r="P141" s="652"/>
      <c r="Q141" s="652"/>
      <c r="R141" s="652"/>
      <c r="S141" s="652"/>
      <c r="T141" s="652"/>
      <c r="U141" s="652"/>
      <c r="V141" s="652"/>
      <c r="W141" s="652"/>
      <c r="X141" s="652"/>
      <c r="Y141" s="652"/>
      <c r="Z141" s="652"/>
      <c r="AA141" s="652"/>
      <c r="AB141" s="652"/>
      <c r="AC141" s="652"/>
      <c r="AD141" s="652"/>
      <c r="AE141" s="652"/>
      <c r="AF141" s="652"/>
      <c r="AG141" s="652"/>
    </row>
    <row r="142" spans="1:33" hidden="1" x14ac:dyDescent="0.2">
      <c r="A142" s="652"/>
      <c r="B142" s="652"/>
      <c r="C142" s="652"/>
      <c r="D142" s="652"/>
      <c r="E142" s="652"/>
      <c r="F142" s="652"/>
      <c r="G142" s="652"/>
      <c r="H142" s="652"/>
      <c r="I142" s="652"/>
      <c r="J142" s="652"/>
      <c r="K142" s="652"/>
      <c r="L142" s="652"/>
      <c r="M142" s="652"/>
      <c r="N142" s="652"/>
      <c r="O142" s="652"/>
      <c r="P142" s="652"/>
      <c r="Q142" s="652"/>
      <c r="R142" s="652"/>
      <c r="S142" s="652"/>
      <c r="T142" s="652"/>
      <c r="U142" s="652"/>
      <c r="V142" s="652"/>
      <c r="W142" s="652"/>
      <c r="X142" s="652"/>
      <c r="Y142" s="652"/>
      <c r="Z142" s="652"/>
      <c r="AA142" s="652"/>
      <c r="AB142" s="652"/>
      <c r="AC142" s="652"/>
      <c r="AD142" s="652"/>
      <c r="AE142" s="652"/>
      <c r="AF142" s="652"/>
      <c r="AG142" s="652"/>
    </row>
    <row r="143" spans="1:33" hidden="1" x14ac:dyDescent="0.2">
      <c r="A143" s="652"/>
      <c r="B143" s="652"/>
      <c r="C143" s="652"/>
      <c r="D143" s="652"/>
      <c r="E143" s="652"/>
      <c r="F143" s="652"/>
      <c r="G143" s="652"/>
      <c r="H143" s="652"/>
      <c r="I143" s="652"/>
      <c r="J143" s="652"/>
      <c r="K143" s="652"/>
      <c r="L143" s="652"/>
      <c r="M143" s="652"/>
      <c r="N143" s="652"/>
      <c r="O143" s="652"/>
      <c r="P143" s="652"/>
      <c r="Q143" s="652"/>
      <c r="R143" s="652"/>
      <c r="S143" s="652"/>
      <c r="T143" s="652"/>
      <c r="U143" s="652"/>
      <c r="V143" s="652"/>
      <c r="W143" s="652"/>
      <c r="X143" s="652"/>
      <c r="Y143" s="652"/>
      <c r="Z143" s="652"/>
      <c r="AA143" s="652"/>
      <c r="AB143" s="652"/>
      <c r="AC143" s="652"/>
      <c r="AD143" s="652"/>
      <c r="AE143" s="652"/>
      <c r="AF143" s="652"/>
      <c r="AG143" s="652"/>
    </row>
    <row r="144" spans="1:33" hidden="1" x14ac:dyDescent="0.2">
      <c r="A144" s="652"/>
      <c r="B144" s="652"/>
      <c r="C144" s="652"/>
      <c r="D144" s="652"/>
      <c r="E144" s="652"/>
      <c r="F144" s="652"/>
      <c r="G144" s="652"/>
      <c r="H144" s="652"/>
      <c r="I144" s="652"/>
      <c r="J144" s="652"/>
      <c r="K144" s="652"/>
      <c r="L144" s="652"/>
      <c r="M144" s="652"/>
      <c r="N144" s="652"/>
      <c r="O144" s="652"/>
      <c r="P144" s="652"/>
      <c r="Q144" s="652"/>
      <c r="R144" s="652"/>
      <c r="S144" s="652"/>
      <c r="T144" s="652"/>
      <c r="U144" s="652"/>
      <c r="V144" s="652"/>
      <c r="W144" s="652"/>
      <c r="X144" s="652"/>
      <c r="Y144" s="652"/>
      <c r="Z144" s="652"/>
      <c r="AA144" s="652"/>
      <c r="AB144" s="652"/>
      <c r="AC144" s="652"/>
      <c r="AD144" s="652"/>
      <c r="AE144" s="652"/>
      <c r="AF144" s="652"/>
      <c r="AG144" s="652"/>
    </row>
    <row r="145" spans="1:33"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652"/>
      <c r="AF145" s="652"/>
      <c r="AG145" s="652"/>
    </row>
    <row r="146" spans="1:33"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652"/>
      <c r="AF146" s="652"/>
      <c r="AG146" s="652"/>
    </row>
    <row r="147" spans="1:33"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row>
    <row r="148" spans="1:33"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row>
    <row r="149" spans="1:33"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row>
    <row r="150" spans="1:33" hidden="1" x14ac:dyDescent="0.2">
      <c r="A150" s="652"/>
      <c r="B150" s="652"/>
      <c r="C150" s="652"/>
      <c r="D150" s="652"/>
      <c r="E150" s="652"/>
      <c r="F150" s="652"/>
      <c r="G150" s="652"/>
      <c r="H150" s="652"/>
      <c r="I150" s="652"/>
      <c r="J150" s="652"/>
      <c r="K150" s="652"/>
      <c r="L150" s="657"/>
      <c r="M150" s="657"/>
      <c r="N150" s="657"/>
      <c r="O150" s="652"/>
      <c r="P150" s="652"/>
      <c r="Q150" s="652"/>
      <c r="R150" s="652"/>
      <c r="S150" s="652"/>
      <c r="T150" s="657"/>
      <c r="U150" s="657"/>
      <c r="V150" s="657"/>
      <c r="W150" s="652"/>
      <c r="X150" s="652"/>
      <c r="Y150" s="652"/>
      <c r="Z150" s="652"/>
      <c r="AA150" s="652"/>
      <c r="AB150" s="652"/>
      <c r="AC150" s="652"/>
      <c r="AD150" s="652"/>
      <c r="AE150" s="652"/>
      <c r="AF150" s="652"/>
      <c r="AG150" s="652"/>
    </row>
    <row r="151" spans="1:33" hidden="1" x14ac:dyDescent="0.2">
      <c r="A151" s="652"/>
      <c r="B151" s="652"/>
      <c r="C151" s="652"/>
      <c r="D151" s="652"/>
      <c r="E151" s="652"/>
      <c r="F151" s="652"/>
      <c r="G151" s="652"/>
      <c r="H151" s="652"/>
      <c r="I151" s="652"/>
      <c r="J151" s="652"/>
      <c r="K151" s="652"/>
      <c r="L151" s="657"/>
      <c r="M151" s="657"/>
      <c r="N151" s="657"/>
      <c r="O151" s="652"/>
      <c r="P151" s="652"/>
      <c r="Q151" s="652"/>
      <c r="R151" s="652"/>
      <c r="S151" s="652"/>
      <c r="T151" s="657"/>
      <c r="U151" s="657"/>
      <c r="V151" s="657"/>
      <c r="W151" s="652"/>
      <c r="X151" s="652"/>
      <c r="Y151" s="652"/>
      <c r="Z151" s="652"/>
      <c r="AA151" s="652"/>
      <c r="AB151" s="652"/>
      <c r="AC151" s="652"/>
      <c r="AD151" s="652"/>
      <c r="AE151" s="652"/>
      <c r="AF151" s="652"/>
      <c r="AG151" s="652"/>
    </row>
    <row r="152" spans="1:33" hidden="1" x14ac:dyDescent="0.2">
      <c r="A152" s="652"/>
      <c r="B152" s="652"/>
      <c r="C152" s="652"/>
      <c r="D152" s="652"/>
      <c r="E152" s="652"/>
      <c r="F152" s="652"/>
      <c r="G152" s="652"/>
      <c r="H152" s="652"/>
      <c r="I152" s="652"/>
      <c r="J152" s="652"/>
      <c r="K152" s="652"/>
      <c r="L152" s="657"/>
      <c r="M152" s="657"/>
      <c r="N152" s="657"/>
      <c r="O152" s="652"/>
      <c r="P152" s="652"/>
      <c r="Q152" s="652"/>
      <c r="R152" s="652"/>
      <c r="S152" s="652"/>
      <c r="T152" s="657"/>
      <c r="U152" s="657"/>
      <c r="V152" s="657"/>
      <c r="W152" s="652"/>
      <c r="X152" s="652"/>
      <c r="Y152" s="652"/>
      <c r="Z152" s="652"/>
      <c r="AA152" s="652"/>
      <c r="AB152" s="652"/>
      <c r="AC152" s="652"/>
      <c r="AD152" s="652"/>
      <c r="AE152" s="652"/>
      <c r="AF152" s="652"/>
      <c r="AG152" s="652"/>
    </row>
    <row r="153" spans="1:33" hidden="1" x14ac:dyDescent="0.2">
      <c r="A153" s="652"/>
      <c r="B153" s="652"/>
      <c r="C153" s="652"/>
      <c r="D153" s="652"/>
      <c r="E153" s="652"/>
      <c r="F153" s="652"/>
      <c r="G153" s="652"/>
      <c r="H153" s="652"/>
      <c r="I153" s="652"/>
      <c r="J153" s="652"/>
      <c r="K153" s="652"/>
      <c r="L153" s="657"/>
      <c r="M153" s="657"/>
      <c r="N153" s="657"/>
      <c r="O153" s="652"/>
      <c r="P153" s="652"/>
      <c r="Q153" s="652"/>
      <c r="R153" s="652"/>
      <c r="S153" s="652"/>
      <c r="T153" s="657"/>
      <c r="U153" s="657"/>
      <c r="V153" s="657"/>
      <c r="W153" s="652"/>
      <c r="X153" s="652"/>
      <c r="Y153" s="652"/>
      <c r="Z153" s="652"/>
      <c r="AA153" s="652"/>
      <c r="AB153" s="652"/>
      <c r="AC153" s="652"/>
      <c r="AD153" s="652"/>
      <c r="AE153" s="652"/>
      <c r="AF153" s="652"/>
      <c r="AG153" s="652"/>
    </row>
    <row r="154" spans="1:33" hidden="1" x14ac:dyDescent="0.2">
      <c r="A154" s="652"/>
      <c r="B154" s="652"/>
      <c r="C154" s="652"/>
      <c r="D154" s="652"/>
      <c r="E154" s="652"/>
      <c r="F154" s="652"/>
      <c r="G154" s="652"/>
      <c r="H154" s="652"/>
      <c r="I154" s="652"/>
      <c r="J154" s="652"/>
      <c r="K154" s="652"/>
      <c r="L154" s="657"/>
      <c r="M154" s="657"/>
      <c r="N154" s="657"/>
      <c r="O154" s="652"/>
      <c r="P154" s="652"/>
      <c r="Q154" s="652"/>
      <c r="R154" s="652"/>
      <c r="S154" s="652"/>
      <c r="T154" s="657"/>
      <c r="U154" s="657"/>
      <c r="V154" s="657"/>
      <c r="W154" s="652"/>
      <c r="X154" s="652"/>
      <c r="Y154" s="652"/>
      <c r="Z154" s="652"/>
      <c r="AA154" s="652"/>
      <c r="AB154" s="652"/>
      <c r="AC154" s="652"/>
      <c r="AD154" s="652"/>
      <c r="AE154" s="652"/>
      <c r="AF154" s="652"/>
      <c r="AG154" s="652"/>
    </row>
    <row r="155" spans="1:33" hidden="1" x14ac:dyDescent="0.2">
      <c r="A155" s="652"/>
      <c r="B155" s="652"/>
      <c r="C155" s="652"/>
      <c r="D155" s="652"/>
      <c r="E155" s="652"/>
      <c r="F155" s="652"/>
      <c r="G155" s="652"/>
      <c r="H155" s="652"/>
      <c r="I155" s="652"/>
      <c r="J155" s="652"/>
      <c r="K155" s="652"/>
      <c r="L155" s="657"/>
      <c r="M155" s="657"/>
      <c r="N155" s="657"/>
      <c r="O155" s="652"/>
      <c r="P155" s="652"/>
      <c r="Q155" s="652"/>
      <c r="R155" s="652"/>
      <c r="S155" s="652"/>
      <c r="T155" s="657"/>
      <c r="U155" s="657"/>
      <c r="V155" s="657"/>
      <c r="W155" s="652"/>
      <c r="X155" s="652"/>
      <c r="Y155" s="652"/>
      <c r="Z155" s="652"/>
      <c r="AA155" s="652"/>
      <c r="AB155" s="652"/>
      <c r="AC155" s="652"/>
      <c r="AD155" s="652"/>
      <c r="AE155" s="652"/>
      <c r="AF155" s="652"/>
      <c r="AG155" s="652"/>
    </row>
    <row r="156" spans="1:33" hidden="1" x14ac:dyDescent="0.2">
      <c r="A156" s="652"/>
      <c r="B156" s="652"/>
      <c r="C156" s="652"/>
      <c r="D156" s="652"/>
      <c r="E156" s="652"/>
      <c r="F156" s="652"/>
      <c r="G156" s="652"/>
      <c r="H156" s="652"/>
      <c r="I156" s="652"/>
      <c r="J156" s="652"/>
      <c r="K156" s="652"/>
      <c r="L156" s="657"/>
      <c r="M156" s="657"/>
      <c r="N156" s="657"/>
      <c r="O156" s="652"/>
      <c r="P156" s="652"/>
      <c r="Q156" s="652"/>
      <c r="R156" s="652"/>
      <c r="S156" s="652"/>
      <c r="T156" s="657"/>
      <c r="U156" s="657"/>
      <c r="V156" s="657"/>
      <c r="W156" s="652"/>
      <c r="X156" s="652"/>
      <c r="Y156" s="652"/>
      <c r="Z156" s="652"/>
      <c r="AA156" s="652"/>
      <c r="AB156" s="652"/>
      <c r="AC156" s="652"/>
      <c r="AD156" s="652"/>
      <c r="AE156" s="652"/>
      <c r="AF156" s="652"/>
      <c r="AG156" s="652"/>
    </row>
    <row r="157" spans="1:33" hidden="1" x14ac:dyDescent="0.2">
      <c r="A157" s="652"/>
      <c r="B157" s="652"/>
      <c r="C157" s="652"/>
      <c r="D157" s="652"/>
      <c r="E157" s="652"/>
      <c r="F157" s="652"/>
      <c r="G157" s="652"/>
      <c r="H157" s="652"/>
      <c r="I157" s="652"/>
      <c r="J157" s="652"/>
      <c r="K157" s="652"/>
      <c r="L157" s="657"/>
      <c r="M157" s="657"/>
      <c r="N157" s="657"/>
      <c r="O157" s="652"/>
      <c r="P157" s="652"/>
      <c r="Q157" s="652"/>
      <c r="R157" s="652"/>
      <c r="S157" s="652"/>
      <c r="T157" s="657"/>
      <c r="U157" s="657"/>
      <c r="V157" s="657"/>
      <c r="W157" s="652"/>
      <c r="X157" s="652"/>
      <c r="Y157" s="652"/>
      <c r="Z157" s="652"/>
      <c r="AA157" s="652"/>
      <c r="AB157" s="652"/>
      <c r="AC157" s="652"/>
      <c r="AD157" s="652"/>
      <c r="AE157" s="652"/>
      <c r="AF157" s="652"/>
      <c r="AG157" s="652"/>
    </row>
    <row r="158" spans="1:33" hidden="1" x14ac:dyDescent="0.2">
      <c r="A158" s="652"/>
      <c r="B158" s="652"/>
      <c r="C158" s="652"/>
      <c r="D158" s="652"/>
      <c r="E158" s="652"/>
      <c r="F158" s="652"/>
      <c r="G158" s="652"/>
      <c r="H158" s="652"/>
      <c r="I158" s="652"/>
      <c r="J158" s="652"/>
      <c r="K158" s="652"/>
      <c r="L158" s="657"/>
      <c r="M158" s="657"/>
      <c r="N158" s="657"/>
      <c r="O158" s="652"/>
      <c r="P158" s="652"/>
      <c r="Q158" s="652"/>
      <c r="R158" s="652"/>
      <c r="S158" s="652"/>
      <c r="T158" s="657"/>
      <c r="U158" s="657"/>
      <c r="V158" s="657"/>
      <c r="W158" s="652"/>
      <c r="X158" s="652"/>
      <c r="Y158" s="652"/>
      <c r="Z158" s="652"/>
      <c r="AA158" s="652"/>
      <c r="AB158" s="652"/>
      <c r="AC158" s="652"/>
      <c r="AD158" s="652"/>
      <c r="AE158" s="652"/>
      <c r="AF158" s="652"/>
      <c r="AG158" s="652"/>
    </row>
    <row r="159" spans="1:33" hidden="1" x14ac:dyDescent="0.2">
      <c r="A159" s="652"/>
      <c r="B159" s="652"/>
      <c r="C159" s="652"/>
      <c r="D159" s="652"/>
      <c r="E159" s="652"/>
      <c r="F159" s="652"/>
      <c r="G159" s="652"/>
      <c r="H159" s="652"/>
      <c r="I159" s="652"/>
      <c r="J159" s="652"/>
      <c r="K159" s="652"/>
      <c r="L159" s="657"/>
      <c r="M159" s="657"/>
      <c r="N159" s="657"/>
      <c r="O159" s="652"/>
      <c r="P159" s="652"/>
      <c r="Q159" s="652"/>
      <c r="R159" s="652"/>
      <c r="S159" s="652"/>
      <c r="T159" s="657"/>
      <c r="U159" s="657"/>
      <c r="V159" s="657"/>
      <c r="W159" s="652"/>
      <c r="X159" s="652"/>
      <c r="Y159" s="652"/>
      <c r="Z159" s="652"/>
      <c r="AA159" s="652"/>
      <c r="AB159" s="652"/>
      <c r="AC159" s="652"/>
      <c r="AD159" s="652"/>
      <c r="AE159" s="652"/>
      <c r="AF159" s="652"/>
      <c r="AG159" s="652"/>
    </row>
    <row r="160" spans="1:33" hidden="1" x14ac:dyDescent="0.2">
      <c r="A160" s="652"/>
      <c r="B160" s="652"/>
      <c r="C160" s="652"/>
      <c r="D160" s="652"/>
      <c r="E160" s="652"/>
      <c r="F160" s="652"/>
      <c r="G160" s="652"/>
      <c r="H160" s="652"/>
      <c r="I160" s="652"/>
      <c r="J160" s="652"/>
      <c r="K160" s="652"/>
      <c r="L160" s="657"/>
      <c r="M160" s="657"/>
      <c r="N160" s="657"/>
      <c r="O160" s="652"/>
      <c r="P160" s="652"/>
      <c r="Q160" s="652"/>
      <c r="R160" s="652"/>
      <c r="S160" s="652"/>
      <c r="T160" s="657"/>
      <c r="U160" s="657"/>
      <c r="V160" s="657"/>
      <c r="W160" s="652"/>
      <c r="X160" s="652"/>
      <c r="Y160" s="652"/>
      <c r="Z160" s="652"/>
      <c r="AA160" s="652"/>
      <c r="AB160" s="652"/>
      <c r="AC160" s="652"/>
      <c r="AD160" s="652"/>
      <c r="AE160" s="652"/>
      <c r="AF160" s="652"/>
      <c r="AG160" s="652"/>
    </row>
    <row r="161" spans="1:33"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652"/>
      <c r="AF161" s="652"/>
      <c r="AG161" s="652"/>
    </row>
    <row r="162" spans="1:33" hidden="1" x14ac:dyDescent="0.2">
      <c r="A162" s="652"/>
      <c r="B162" s="652"/>
      <c r="C162" s="652"/>
      <c r="D162" s="652"/>
      <c r="E162" s="652"/>
      <c r="F162" s="652"/>
      <c r="G162" s="652"/>
      <c r="H162" s="652"/>
      <c r="I162" s="652"/>
      <c r="J162" s="652"/>
      <c r="K162" s="652"/>
      <c r="L162" s="652"/>
      <c r="M162" s="652"/>
      <c r="N162" s="652"/>
      <c r="O162" s="652"/>
      <c r="P162" s="652"/>
      <c r="Q162" s="652"/>
      <c r="R162" s="652"/>
      <c r="S162" s="652"/>
      <c r="T162" s="652"/>
      <c r="U162" s="652"/>
      <c r="V162" s="652"/>
      <c r="W162" s="652"/>
      <c r="X162" s="652"/>
      <c r="Y162" s="652"/>
      <c r="Z162" s="652"/>
      <c r="AA162" s="652"/>
      <c r="AB162" s="652"/>
      <c r="AC162" s="652"/>
      <c r="AD162" s="652"/>
      <c r="AE162" s="652"/>
      <c r="AF162" s="652"/>
      <c r="AG162" s="652"/>
    </row>
    <row r="163" spans="1:33" hidden="1" x14ac:dyDescent="0.2">
      <c r="A163" s="652"/>
      <c r="B163" s="652"/>
      <c r="C163" s="652"/>
      <c r="D163" s="652"/>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52"/>
      <c r="AE163" s="652"/>
      <c r="AF163" s="652"/>
      <c r="AG163" s="652"/>
    </row>
    <row r="164" spans="1:33" hidden="1" x14ac:dyDescent="0.2">
      <c r="A164" s="652"/>
      <c r="B164" s="652"/>
      <c r="C164" s="652"/>
      <c r="D164" s="652"/>
      <c r="E164" s="652"/>
      <c r="F164" s="652"/>
      <c r="G164" s="652"/>
      <c r="H164" s="652"/>
      <c r="I164" s="652"/>
      <c r="J164" s="652"/>
      <c r="K164" s="652"/>
      <c r="L164" s="652"/>
      <c r="M164" s="652"/>
      <c r="N164" s="652"/>
      <c r="O164" s="652"/>
      <c r="P164" s="652"/>
      <c r="Q164" s="652"/>
      <c r="R164" s="652"/>
      <c r="S164" s="652"/>
      <c r="T164" s="652"/>
      <c r="U164" s="652"/>
      <c r="V164" s="652"/>
      <c r="W164" s="652"/>
      <c r="X164" s="652"/>
      <c r="Y164" s="652"/>
      <c r="Z164" s="652"/>
      <c r="AA164" s="652"/>
      <c r="AB164" s="652"/>
      <c r="AC164" s="652"/>
      <c r="AD164" s="652"/>
      <c r="AE164" s="652"/>
      <c r="AF164" s="652"/>
      <c r="AG164" s="652"/>
    </row>
    <row r="165" spans="1:33" hidden="1" x14ac:dyDescent="0.2">
      <c r="A165" s="652"/>
      <c r="B165" s="652"/>
      <c r="C165" s="652"/>
      <c r="D165" s="652"/>
      <c r="E165" s="652"/>
      <c r="F165" s="652"/>
      <c r="G165" s="652"/>
      <c r="H165" s="652"/>
      <c r="I165" s="652"/>
      <c r="J165" s="652"/>
      <c r="K165" s="652"/>
      <c r="L165" s="652"/>
      <c r="M165" s="652"/>
      <c r="N165" s="652"/>
      <c r="O165" s="652"/>
      <c r="P165" s="652"/>
      <c r="Q165" s="652"/>
      <c r="R165" s="652"/>
      <c r="S165" s="652"/>
      <c r="T165" s="652"/>
      <c r="U165" s="652"/>
      <c r="V165" s="652"/>
      <c r="W165" s="652"/>
      <c r="X165" s="652"/>
      <c r="Y165" s="652"/>
      <c r="Z165" s="652"/>
      <c r="AA165" s="652"/>
      <c r="AB165" s="652"/>
      <c r="AC165" s="652"/>
      <c r="AD165" s="652"/>
      <c r="AE165" s="652"/>
      <c r="AF165" s="652"/>
      <c r="AG165" s="652"/>
    </row>
    <row r="166" spans="1:33" hidden="1" x14ac:dyDescent="0.2">
      <c r="A166" s="652"/>
      <c r="B166" s="652"/>
      <c r="C166" s="652"/>
      <c r="D166" s="652"/>
      <c r="E166" s="652"/>
      <c r="F166" s="652"/>
      <c r="G166" s="652"/>
      <c r="H166" s="652"/>
      <c r="I166" s="652"/>
      <c r="J166" s="652"/>
      <c r="K166" s="652"/>
      <c r="L166" s="652"/>
      <c r="M166" s="652"/>
      <c r="N166" s="652"/>
      <c r="O166" s="652"/>
      <c r="P166" s="652"/>
      <c r="Q166" s="652"/>
      <c r="R166" s="652"/>
      <c r="S166" s="652"/>
      <c r="T166" s="652"/>
      <c r="U166" s="652"/>
      <c r="V166" s="652"/>
      <c r="W166" s="652"/>
      <c r="X166" s="652"/>
      <c r="Y166" s="652"/>
      <c r="Z166" s="652"/>
      <c r="AA166" s="652"/>
      <c r="AB166" s="652"/>
      <c r="AC166" s="652"/>
      <c r="AD166" s="652"/>
      <c r="AE166" s="652"/>
      <c r="AF166" s="652"/>
      <c r="AG166" s="652"/>
    </row>
    <row r="167" spans="1:33" hidden="1" x14ac:dyDescent="0.2">
      <c r="A167" s="652"/>
      <c r="B167" s="652"/>
      <c r="C167" s="652"/>
      <c r="D167" s="652"/>
      <c r="E167" s="652"/>
      <c r="F167" s="652"/>
      <c r="G167" s="652"/>
      <c r="H167" s="652"/>
      <c r="I167" s="652"/>
      <c r="J167" s="652"/>
      <c r="K167" s="652"/>
      <c r="L167" s="652"/>
      <c r="M167" s="652"/>
      <c r="N167" s="652"/>
      <c r="O167" s="652"/>
      <c r="P167" s="652"/>
      <c r="Q167" s="652"/>
      <c r="R167" s="652"/>
      <c r="S167" s="652"/>
      <c r="T167" s="652"/>
      <c r="U167" s="652"/>
      <c r="V167" s="652"/>
      <c r="W167" s="652"/>
      <c r="X167" s="652"/>
      <c r="Y167" s="652"/>
      <c r="Z167" s="652"/>
      <c r="AA167" s="652"/>
      <c r="AB167" s="652"/>
      <c r="AC167" s="652"/>
      <c r="AD167" s="652"/>
      <c r="AE167" s="652"/>
      <c r="AF167" s="652"/>
      <c r="AG167" s="652"/>
    </row>
    <row r="168" spans="1:33" hidden="1" x14ac:dyDescent="0.2">
      <c r="A168" s="652"/>
      <c r="B168" s="652"/>
      <c r="C168" s="652"/>
      <c r="D168" s="652"/>
      <c r="E168" s="652"/>
      <c r="F168" s="652"/>
      <c r="G168" s="652"/>
      <c r="H168" s="652"/>
      <c r="I168" s="652"/>
      <c r="J168" s="652"/>
      <c r="K168" s="652"/>
      <c r="L168" s="652"/>
      <c r="M168" s="652"/>
      <c r="N168" s="652"/>
      <c r="O168" s="652"/>
      <c r="P168" s="652"/>
      <c r="Q168" s="652"/>
      <c r="R168" s="652"/>
      <c r="S168" s="652"/>
      <c r="T168" s="652"/>
      <c r="U168" s="652"/>
      <c r="V168" s="652"/>
      <c r="W168" s="652"/>
      <c r="X168" s="652"/>
      <c r="Y168" s="652"/>
      <c r="Z168" s="652"/>
      <c r="AA168" s="652"/>
      <c r="AB168" s="652"/>
      <c r="AC168" s="652"/>
      <c r="AD168" s="652"/>
      <c r="AE168" s="652"/>
      <c r="AF168" s="652"/>
      <c r="AG168" s="652"/>
    </row>
    <row r="169" spans="1:33" hidden="1" x14ac:dyDescent="0.2">
      <c r="A169" s="652"/>
      <c r="B169" s="652"/>
      <c r="C169" s="652"/>
      <c r="D169" s="652"/>
      <c r="E169" s="652"/>
      <c r="F169" s="652"/>
      <c r="G169" s="652"/>
      <c r="H169" s="652"/>
      <c r="I169" s="652"/>
      <c r="J169" s="652"/>
      <c r="K169" s="652"/>
      <c r="L169" s="652"/>
      <c r="M169" s="652"/>
      <c r="N169" s="652"/>
      <c r="O169" s="652"/>
      <c r="P169" s="652"/>
      <c r="Q169" s="652"/>
      <c r="R169" s="652"/>
      <c r="S169" s="652"/>
      <c r="T169" s="652"/>
      <c r="U169" s="652"/>
      <c r="V169" s="652"/>
      <c r="W169" s="652"/>
      <c r="X169" s="652"/>
      <c r="Y169" s="652"/>
      <c r="Z169" s="652"/>
      <c r="AA169" s="652"/>
      <c r="AB169" s="652"/>
      <c r="AC169" s="652"/>
      <c r="AD169" s="652"/>
      <c r="AE169" s="652"/>
      <c r="AF169" s="652"/>
      <c r="AG169" s="652"/>
    </row>
    <row r="170" spans="1:33" hidden="1" x14ac:dyDescent="0.2">
      <c r="A170" s="652"/>
      <c r="B170" s="652"/>
      <c r="C170" s="652"/>
      <c r="D170" s="652"/>
      <c r="E170" s="652"/>
      <c r="F170" s="652"/>
      <c r="G170" s="652"/>
      <c r="H170" s="652"/>
      <c r="I170" s="652"/>
      <c r="J170" s="652"/>
      <c r="K170" s="652"/>
      <c r="L170" s="652"/>
      <c r="M170" s="652"/>
      <c r="N170" s="652"/>
      <c r="O170" s="652"/>
      <c r="P170" s="652"/>
      <c r="Q170" s="652"/>
      <c r="R170" s="652"/>
      <c r="S170" s="652"/>
      <c r="T170" s="652"/>
      <c r="U170" s="652"/>
      <c r="V170" s="652"/>
      <c r="W170" s="652"/>
      <c r="X170" s="652"/>
      <c r="Y170" s="652"/>
      <c r="Z170" s="652"/>
      <c r="AA170" s="652"/>
      <c r="AB170" s="652"/>
      <c r="AC170" s="652"/>
      <c r="AD170" s="652"/>
      <c r="AE170" s="652"/>
      <c r="AF170" s="652"/>
      <c r="AG170" s="652"/>
    </row>
    <row r="171" spans="1:33" hidden="1" x14ac:dyDescent="0.2">
      <c r="A171" s="652"/>
      <c r="B171" s="652"/>
      <c r="C171" s="652"/>
      <c r="D171" s="652"/>
      <c r="E171" s="652"/>
      <c r="F171" s="652"/>
      <c r="G171" s="652"/>
      <c r="H171" s="652"/>
      <c r="I171" s="652"/>
      <c r="J171" s="652"/>
      <c r="K171" s="652"/>
      <c r="L171" s="652"/>
      <c r="M171" s="652"/>
      <c r="N171" s="652"/>
      <c r="O171" s="652"/>
      <c r="P171" s="652"/>
      <c r="Q171" s="652"/>
      <c r="R171" s="652"/>
      <c r="S171" s="652"/>
      <c r="T171" s="652"/>
      <c r="U171" s="652"/>
      <c r="V171" s="652"/>
      <c r="W171" s="652"/>
      <c r="X171" s="652"/>
      <c r="Y171" s="652"/>
      <c r="Z171" s="652"/>
      <c r="AA171" s="652"/>
      <c r="AB171" s="652"/>
      <c r="AC171" s="652"/>
      <c r="AD171" s="652"/>
      <c r="AE171" s="652"/>
      <c r="AF171" s="652"/>
      <c r="AG171" s="652"/>
    </row>
    <row r="172" spans="1:33" hidden="1" x14ac:dyDescent="0.2">
      <c r="A172" s="652"/>
      <c r="B172" s="652"/>
      <c r="C172" s="652"/>
      <c r="D172" s="652"/>
      <c r="E172" s="652"/>
      <c r="F172" s="652"/>
      <c r="G172" s="652"/>
      <c r="H172" s="652"/>
      <c r="I172" s="652"/>
      <c r="J172" s="652"/>
      <c r="K172" s="652"/>
      <c r="L172" s="652"/>
      <c r="M172" s="652"/>
      <c r="N172" s="652"/>
      <c r="O172" s="652"/>
      <c r="P172" s="652"/>
      <c r="Q172" s="652"/>
      <c r="R172" s="652"/>
      <c r="S172" s="652"/>
      <c r="T172" s="652"/>
      <c r="U172" s="652"/>
      <c r="V172" s="652"/>
      <c r="W172" s="652"/>
      <c r="X172" s="652"/>
      <c r="Y172" s="652"/>
      <c r="Z172" s="652"/>
      <c r="AA172" s="652"/>
      <c r="AB172" s="652"/>
      <c r="AC172" s="652"/>
      <c r="AD172" s="652"/>
      <c r="AE172" s="652"/>
      <c r="AF172" s="652"/>
      <c r="AG172" s="652"/>
    </row>
    <row r="173" spans="1:33" hidden="1" x14ac:dyDescent="0.2">
      <c r="A173" s="652"/>
      <c r="B173" s="652"/>
      <c r="C173" s="652"/>
      <c r="D173" s="652"/>
      <c r="E173" s="652"/>
      <c r="F173" s="652"/>
      <c r="G173" s="652"/>
      <c r="H173" s="652"/>
      <c r="I173" s="652"/>
      <c r="J173" s="652"/>
      <c r="K173" s="652"/>
      <c r="L173" s="652"/>
      <c r="M173" s="652"/>
      <c r="N173" s="652"/>
      <c r="O173" s="652"/>
      <c r="P173" s="652"/>
      <c r="Q173" s="652"/>
      <c r="R173" s="652"/>
      <c r="S173" s="652"/>
      <c r="T173" s="652"/>
      <c r="U173" s="652"/>
      <c r="V173" s="652"/>
      <c r="W173" s="652"/>
      <c r="X173" s="652"/>
      <c r="Y173" s="652"/>
      <c r="Z173" s="652"/>
      <c r="AA173" s="652"/>
      <c r="AB173" s="652"/>
      <c r="AC173" s="652"/>
      <c r="AD173" s="652"/>
      <c r="AE173" s="652"/>
      <c r="AF173" s="652"/>
      <c r="AG173" s="652"/>
    </row>
    <row r="174" spans="1:33"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652"/>
      <c r="AF174" s="652"/>
      <c r="AG174" s="652"/>
    </row>
    <row r="175" spans="1:33"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652"/>
      <c r="AF175" s="652"/>
      <c r="AG175" s="652"/>
    </row>
    <row r="176" spans="1:33"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row>
    <row r="177" spans="1:33"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row>
    <row r="178" spans="1:33"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row>
    <row r="179" spans="1:33"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row>
    <row r="180" spans="1:33"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row>
    <row r="181" spans="1:33"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row>
    <row r="182" spans="1:33"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row>
    <row r="183" spans="1:33"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row>
    <row r="184" spans="1:33"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row>
    <row r="185" spans="1:33"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row>
    <row r="186" spans="1:33"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row>
    <row r="187" spans="1:33"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row>
    <row r="188" spans="1:33"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row>
    <row r="189" spans="1:33"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row>
    <row r="190" spans="1:33"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row>
    <row r="191" spans="1:33"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row>
    <row r="192" spans="1:33"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row>
    <row r="193" spans="1:33"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row>
    <row r="194" spans="1:33"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row>
    <row r="195" spans="1:33"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row>
    <row r="196" spans="1:33"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row>
    <row r="197" spans="1:33"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row>
    <row r="198" spans="1:33"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row>
    <row r="199" spans="1:33"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row>
    <row r="200" spans="1:33"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row>
    <row r="201" spans="1:33"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row>
    <row r="202" spans="1:33"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row>
    <row r="203" spans="1:33"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row>
    <row r="204" spans="1:33"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row>
    <row r="205" spans="1:33"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row>
    <row r="206" spans="1:33"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row>
    <row r="207" spans="1:33"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row>
    <row r="208" spans="1:33"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row>
    <row r="209" spans="1:33"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row>
    <row r="210" spans="1:33"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row>
    <row r="211" spans="1:33"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row>
    <row r="212" spans="1:33"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row>
    <row r="213" spans="1:33"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row>
    <row r="214" spans="1:33"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row>
    <row r="215" spans="1:33"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row>
    <row r="216" spans="1:33"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row>
    <row r="217" spans="1:33"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row>
    <row r="218" spans="1:33"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row>
    <row r="219" spans="1:33"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row>
    <row r="220" spans="1:33"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row>
    <row r="221" spans="1:33"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row>
    <row r="222" spans="1:33"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row>
    <row r="223" spans="1:33"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row>
    <row r="224" spans="1:33"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row>
    <row r="225" spans="1:33"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row>
    <row r="226" spans="1:33"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row>
    <row r="227" spans="1:33"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row>
    <row r="228" spans="1:33"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row>
    <row r="229" spans="1:33"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row>
    <row r="230" spans="1:33"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row>
    <row r="231" spans="1:33"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row>
    <row r="232" spans="1:33"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row>
    <row r="233" spans="1:33"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row>
    <row r="234" spans="1:33"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row>
    <row r="235" spans="1:33"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row>
    <row r="236" spans="1:33"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row>
    <row r="237" spans="1:33"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row>
    <row r="238" spans="1:33"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row>
    <row r="239" spans="1:33"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row>
    <row r="240" spans="1:33"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row>
    <row r="241" spans="1:33"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row>
    <row r="242" spans="1:33"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row>
    <row r="243" spans="1:33"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row>
    <row r="244" spans="1:33"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row>
    <row r="245" spans="1:33"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row>
    <row r="246" spans="1:33"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row>
    <row r="247" spans="1:33"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row>
    <row r="248" spans="1:33"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row>
    <row r="249" spans="1:33"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row>
    <row r="250" spans="1:33"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row>
    <row r="251" spans="1:33"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row>
    <row r="252" spans="1:33"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row>
    <row r="253" spans="1:33"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row>
    <row r="254" spans="1:33"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row>
    <row r="255" spans="1:33"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row>
    <row r="256" spans="1:33"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row>
    <row r="257" spans="1:33"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row>
    <row r="258" spans="1:33"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row>
    <row r="259" spans="1:33"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row>
    <row r="260" spans="1:33"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row>
    <row r="261" spans="1:33"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row>
    <row r="262" spans="1:33"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row>
    <row r="263" spans="1:33"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row>
    <row r="264" spans="1:33"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row>
    <row r="265" spans="1:33"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row>
    <row r="266" spans="1:33"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row>
    <row r="267" spans="1:33"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row>
    <row r="268" spans="1:33"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row>
    <row r="269" spans="1:33"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row>
    <row r="270" spans="1:33"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row>
    <row r="271" spans="1:33"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row>
    <row r="272" spans="1:33"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row>
    <row r="273" spans="1:33"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row>
    <row r="274" spans="1:33"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row>
    <row r="275" spans="1:33"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row>
    <row r="276" spans="1:33"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row>
    <row r="277" spans="1:33"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row>
    <row r="278" spans="1:33"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row>
    <row r="279" spans="1:33"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row>
    <row r="280" spans="1:33"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row>
    <row r="281" spans="1:33"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row>
    <row r="282" spans="1:33"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row>
    <row r="283" spans="1:33"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row>
    <row r="284" spans="1:33"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row>
    <row r="285" spans="1:33"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row>
    <row r="286" spans="1:33" hidden="1" x14ac:dyDescent="0.2">
      <c r="A286" s="652"/>
      <c r="B286" s="652"/>
      <c r="C286" s="652"/>
      <c r="D286" s="652"/>
      <c r="E286" s="652"/>
      <c r="F286" s="652"/>
      <c r="G286" s="652"/>
      <c r="H286" s="652"/>
      <c r="I286" s="652"/>
      <c r="J286" s="652"/>
      <c r="K286" s="652"/>
      <c r="L286" s="657"/>
      <c r="M286" s="657"/>
      <c r="N286" s="657"/>
      <c r="O286" s="652"/>
      <c r="P286" s="652"/>
      <c r="Q286" s="652"/>
      <c r="R286" s="652"/>
      <c r="S286" s="652"/>
      <c r="T286" s="657"/>
      <c r="U286" s="657"/>
      <c r="V286" s="657"/>
      <c r="W286" s="652"/>
      <c r="X286" s="652"/>
      <c r="Y286" s="652"/>
      <c r="Z286" s="652"/>
      <c r="AA286" s="652"/>
      <c r="AB286" s="652"/>
      <c r="AC286" s="652"/>
      <c r="AD286" s="652"/>
      <c r="AE286" s="652"/>
      <c r="AF286" s="652"/>
      <c r="AG286" s="652"/>
    </row>
    <row r="287" spans="1:33" hidden="1" x14ac:dyDescent="0.2">
      <c r="A287" s="652"/>
      <c r="B287" s="652"/>
      <c r="C287" s="652"/>
      <c r="D287" s="652"/>
      <c r="E287" s="652"/>
      <c r="F287" s="652"/>
      <c r="G287" s="652"/>
      <c r="H287" s="652"/>
      <c r="I287" s="652"/>
      <c r="J287" s="652"/>
      <c r="K287" s="652"/>
      <c r="L287" s="657"/>
      <c r="M287" s="657"/>
      <c r="N287" s="657"/>
      <c r="O287" s="652"/>
      <c r="P287" s="652"/>
      <c r="Q287" s="652"/>
      <c r="R287" s="652"/>
      <c r="S287" s="652"/>
      <c r="T287" s="657"/>
      <c r="U287" s="657"/>
      <c r="V287" s="657"/>
      <c r="W287" s="652"/>
      <c r="X287" s="652"/>
      <c r="Y287" s="652"/>
      <c r="Z287" s="652"/>
      <c r="AA287" s="652"/>
      <c r="AB287" s="652"/>
      <c r="AC287" s="652"/>
      <c r="AD287" s="652"/>
      <c r="AE287" s="652"/>
      <c r="AF287" s="652"/>
      <c r="AG287" s="652"/>
    </row>
    <row r="288" spans="1:33" hidden="1" x14ac:dyDescent="0.2">
      <c r="A288" s="652"/>
      <c r="B288" s="652"/>
      <c r="C288" s="652"/>
      <c r="D288" s="652"/>
      <c r="E288" s="652"/>
      <c r="F288" s="652"/>
      <c r="G288" s="652"/>
      <c r="H288" s="652"/>
      <c r="I288" s="652"/>
      <c r="J288" s="652"/>
      <c r="K288" s="652"/>
      <c r="L288" s="657"/>
      <c r="M288" s="657"/>
      <c r="N288" s="657"/>
      <c r="O288" s="652"/>
      <c r="P288" s="652"/>
      <c r="Q288" s="652"/>
      <c r="R288" s="652"/>
      <c r="S288" s="652"/>
      <c r="T288" s="657"/>
      <c r="U288" s="657"/>
      <c r="V288" s="657"/>
      <c r="W288" s="652"/>
      <c r="X288" s="652"/>
      <c r="Y288" s="652"/>
      <c r="Z288" s="652"/>
      <c r="AA288" s="652"/>
      <c r="AB288" s="652"/>
      <c r="AC288" s="652"/>
      <c r="AD288" s="652"/>
      <c r="AE288" s="652"/>
      <c r="AF288" s="652"/>
      <c r="AG288" s="652"/>
    </row>
    <row r="289" spans="1:33" hidden="1" x14ac:dyDescent="0.2">
      <c r="A289" s="652"/>
      <c r="B289" s="652"/>
      <c r="C289" s="652"/>
      <c r="D289" s="652"/>
      <c r="E289" s="652"/>
      <c r="F289" s="652"/>
      <c r="G289" s="652"/>
      <c r="H289" s="652"/>
      <c r="I289" s="652"/>
      <c r="J289" s="652"/>
      <c r="K289" s="652"/>
      <c r="L289" s="657"/>
      <c r="M289" s="657"/>
      <c r="N289" s="657"/>
      <c r="O289" s="652"/>
      <c r="P289" s="652"/>
      <c r="Q289" s="652"/>
      <c r="R289" s="652"/>
      <c r="S289" s="652"/>
      <c r="T289" s="657"/>
      <c r="U289" s="657"/>
      <c r="V289" s="657"/>
      <c r="W289" s="652"/>
      <c r="X289" s="652"/>
      <c r="Y289" s="652"/>
      <c r="Z289" s="652"/>
      <c r="AA289" s="652"/>
      <c r="AB289" s="652"/>
      <c r="AC289" s="652"/>
      <c r="AD289" s="652"/>
      <c r="AE289" s="652"/>
      <c r="AF289" s="652"/>
      <c r="AG289" s="652"/>
    </row>
    <row r="290" spans="1:33" hidden="1" x14ac:dyDescent="0.2">
      <c r="A290" s="652"/>
      <c r="B290" s="652"/>
      <c r="C290" s="652"/>
      <c r="D290" s="652"/>
      <c r="E290" s="652"/>
      <c r="F290" s="652"/>
      <c r="G290" s="652"/>
      <c r="H290" s="652"/>
      <c r="I290" s="652"/>
      <c r="J290" s="652"/>
      <c r="K290" s="652"/>
      <c r="L290" s="657"/>
      <c r="M290" s="657"/>
      <c r="N290" s="657"/>
      <c r="O290" s="652"/>
      <c r="P290" s="652"/>
      <c r="Q290" s="652"/>
      <c r="R290" s="652"/>
      <c r="S290" s="652"/>
      <c r="T290" s="657"/>
      <c r="U290" s="657"/>
      <c r="V290" s="657"/>
      <c r="W290" s="652"/>
      <c r="X290" s="652"/>
      <c r="Y290" s="652"/>
      <c r="Z290" s="652"/>
      <c r="AA290" s="652"/>
      <c r="AB290" s="652"/>
      <c r="AC290" s="652"/>
      <c r="AD290" s="652"/>
      <c r="AE290" s="652"/>
      <c r="AF290" s="652"/>
      <c r="AG290" s="652"/>
    </row>
    <row r="291" spans="1:33" hidden="1" x14ac:dyDescent="0.2">
      <c r="A291" s="652"/>
      <c r="B291" s="652"/>
      <c r="C291" s="652"/>
      <c r="D291" s="652"/>
      <c r="E291" s="652"/>
      <c r="F291" s="652"/>
      <c r="G291" s="652"/>
      <c r="H291" s="652"/>
      <c r="I291" s="652"/>
      <c r="J291" s="652"/>
      <c r="K291" s="652"/>
      <c r="L291" s="657"/>
      <c r="M291" s="657"/>
      <c r="N291" s="657"/>
      <c r="O291" s="652"/>
      <c r="P291" s="652"/>
      <c r="Q291" s="652"/>
      <c r="R291" s="652"/>
      <c r="S291" s="652"/>
      <c r="T291" s="657"/>
      <c r="U291" s="657"/>
      <c r="V291" s="657"/>
      <c r="W291" s="652"/>
      <c r="X291" s="652"/>
      <c r="Y291" s="652"/>
      <c r="Z291" s="652"/>
      <c r="AA291" s="652"/>
      <c r="AB291" s="652"/>
      <c r="AC291" s="652"/>
      <c r="AD291" s="652"/>
      <c r="AE291" s="652"/>
      <c r="AF291" s="652"/>
      <c r="AG291" s="652"/>
    </row>
    <row r="292" spans="1:33" hidden="1" x14ac:dyDescent="0.2">
      <c r="A292" s="652"/>
      <c r="B292" s="652"/>
      <c r="C292" s="652"/>
      <c r="D292" s="652"/>
      <c r="E292" s="652"/>
      <c r="F292" s="652"/>
      <c r="G292" s="652"/>
      <c r="H292" s="652"/>
      <c r="I292" s="652"/>
      <c r="J292" s="652"/>
      <c r="K292" s="652"/>
      <c r="L292" s="657"/>
      <c r="M292" s="657"/>
      <c r="N292" s="657"/>
      <c r="O292" s="652"/>
      <c r="P292" s="652"/>
      <c r="Q292" s="652"/>
      <c r="R292" s="652"/>
      <c r="S292" s="652"/>
      <c r="T292" s="657"/>
      <c r="U292" s="657"/>
      <c r="V292" s="657"/>
      <c r="W292" s="652"/>
      <c r="X292" s="652"/>
      <c r="Y292" s="652"/>
      <c r="Z292" s="652"/>
      <c r="AA292" s="652"/>
      <c r="AB292" s="652"/>
      <c r="AC292" s="652"/>
      <c r="AD292" s="652"/>
      <c r="AE292" s="652"/>
      <c r="AF292" s="652"/>
      <c r="AG292" s="652"/>
    </row>
    <row r="293" spans="1:33" hidden="1" x14ac:dyDescent="0.2">
      <c r="A293" s="652"/>
      <c r="B293" s="652"/>
      <c r="C293" s="652"/>
      <c r="D293" s="652"/>
      <c r="E293" s="652"/>
      <c r="F293" s="652"/>
      <c r="G293" s="652"/>
      <c r="H293" s="652"/>
      <c r="I293" s="652"/>
      <c r="J293" s="652"/>
      <c r="K293" s="652"/>
      <c r="L293" s="657"/>
      <c r="M293" s="657"/>
      <c r="N293" s="657"/>
      <c r="O293" s="652"/>
      <c r="P293" s="652"/>
      <c r="Q293" s="652"/>
      <c r="R293" s="652"/>
      <c r="S293" s="652"/>
      <c r="T293" s="657"/>
      <c r="U293" s="657"/>
      <c r="V293" s="657"/>
      <c r="W293" s="652"/>
      <c r="X293" s="652"/>
      <c r="Y293" s="652"/>
      <c r="Z293" s="652"/>
      <c r="AA293" s="652"/>
      <c r="AB293" s="652"/>
      <c r="AC293" s="652"/>
      <c r="AD293" s="652"/>
      <c r="AE293" s="652"/>
      <c r="AF293" s="652"/>
      <c r="AG293" s="652"/>
    </row>
    <row r="294" spans="1:33" hidden="1" x14ac:dyDescent="0.2">
      <c r="A294" s="652"/>
      <c r="B294" s="652"/>
      <c r="C294" s="652"/>
      <c r="D294" s="652"/>
      <c r="E294" s="652"/>
      <c r="F294" s="652"/>
      <c r="G294" s="652"/>
      <c r="H294" s="652"/>
      <c r="I294" s="652"/>
      <c r="J294" s="652"/>
      <c r="K294" s="652"/>
      <c r="L294" s="657"/>
      <c r="M294" s="657"/>
      <c r="N294" s="657"/>
      <c r="O294" s="652"/>
      <c r="P294" s="652"/>
      <c r="Q294" s="652"/>
      <c r="R294" s="652"/>
      <c r="S294" s="652"/>
      <c r="T294" s="657"/>
      <c r="U294" s="657"/>
      <c r="V294" s="657"/>
      <c r="W294" s="652"/>
      <c r="X294" s="652"/>
      <c r="Y294" s="652"/>
      <c r="Z294" s="652"/>
      <c r="AA294" s="652"/>
      <c r="AB294" s="652"/>
      <c r="AC294" s="652"/>
      <c r="AD294" s="652"/>
      <c r="AE294" s="652"/>
      <c r="AF294" s="652"/>
      <c r="AG294" s="652"/>
    </row>
    <row r="295" spans="1:33" hidden="1" x14ac:dyDescent="0.2">
      <c r="A295" s="652"/>
      <c r="B295" s="652"/>
      <c r="C295" s="652"/>
      <c r="D295" s="652"/>
      <c r="E295" s="652"/>
      <c r="F295" s="652"/>
      <c r="G295" s="652"/>
      <c r="H295" s="652"/>
      <c r="I295" s="652"/>
      <c r="J295" s="652"/>
      <c r="K295" s="652"/>
      <c r="L295" s="657"/>
      <c r="M295" s="657"/>
      <c r="N295" s="657"/>
      <c r="O295" s="652"/>
      <c r="P295" s="652"/>
      <c r="Q295" s="652"/>
      <c r="R295" s="652"/>
      <c r="S295" s="652"/>
      <c r="T295" s="657"/>
      <c r="U295" s="657"/>
      <c r="V295" s="657"/>
      <c r="W295" s="652"/>
      <c r="X295" s="652"/>
      <c r="Y295" s="652"/>
      <c r="Z295" s="652"/>
      <c r="AA295" s="652"/>
      <c r="AB295" s="652"/>
      <c r="AC295" s="652"/>
      <c r="AD295" s="652"/>
      <c r="AE295" s="652"/>
      <c r="AF295" s="652"/>
      <c r="AG295" s="652"/>
    </row>
    <row r="296" spans="1:33" hidden="1" x14ac:dyDescent="0.2">
      <c r="A296" s="652"/>
      <c r="B296" s="652"/>
      <c r="C296" s="652"/>
      <c r="D296" s="652"/>
      <c r="E296" s="652"/>
      <c r="F296" s="652"/>
      <c r="G296" s="652"/>
      <c r="H296" s="652"/>
      <c r="I296" s="652"/>
      <c r="J296" s="652"/>
      <c r="K296" s="652"/>
      <c r="L296" s="657"/>
      <c r="M296" s="657"/>
      <c r="N296" s="657"/>
      <c r="O296" s="652"/>
      <c r="P296" s="652"/>
      <c r="Q296" s="652"/>
      <c r="R296" s="652"/>
      <c r="S296" s="652"/>
      <c r="T296" s="657"/>
      <c r="U296" s="657"/>
      <c r="V296" s="657"/>
      <c r="W296" s="652"/>
      <c r="X296" s="652"/>
      <c r="Y296" s="652"/>
      <c r="Z296" s="652"/>
      <c r="AA296" s="652"/>
      <c r="AB296" s="652"/>
      <c r="AC296" s="652"/>
      <c r="AD296" s="652"/>
      <c r="AE296" s="652"/>
      <c r="AF296" s="652"/>
      <c r="AG296" s="652"/>
    </row>
    <row r="297" spans="1:33" hidden="1" x14ac:dyDescent="0.2">
      <c r="D297" s="698"/>
      <c r="E297" s="698"/>
      <c r="F297" s="65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652"/>
      <c r="AF297" s="652"/>
      <c r="AG297" s="652"/>
    </row>
    <row r="298" spans="1:33" x14ac:dyDescent="0.2">
      <c r="D298" s="702"/>
      <c r="E298" s="702"/>
      <c r="F298" s="652"/>
      <c r="G298" s="652"/>
      <c r="H298" s="652"/>
      <c r="I298" s="652"/>
      <c r="J298" s="652"/>
      <c r="K298" s="652"/>
      <c r="L298" s="652"/>
      <c r="M298" s="652"/>
      <c r="N298" s="652"/>
      <c r="O298" s="652"/>
      <c r="P298" s="652"/>
      <c r="Q298" s="652"/>
      <c r="R298" s="652"/>
      <c r="S298" s="652"/>
      <c r="T298" s="652"/>
      <c r="U298" s="652"/>
      <c r="V298" s="652"/>
      <c r="W298" s="652"/>
      <c r="X298" s="652"/>
      <c r="Y298" s="652"/>
      <c r="Z298" s="652"/>
      <c r="AA298" s="652"/>
      <c r="AB298" s="652"/>
      <c r="AC298" s="652"/>
      <c r="AD298" s="652"/>
      <c r="AE298" s="652"/>
      <c r="AF298" s="652"/>
      <c r="AG298" s="652"/>
    </row>
    <row r="299" spans="1:33" x14ac:dyDescent="0.2">
      <c r="A299" s="652"/>
      <c r="B299" s="652"/>
      <c r="C299" s="697" t="s">
        <v>182</v>
      </c>
      <c r="D299" s="653"/>
      <c r="E299" s="653"/>
      <c r="F299" s="652"/>
      <c r="G299" s="652"/>
      <c r="H299" s="652"/>
      <c r="I299" s="652"/>
      <c r="J299" s="652"/>
      <c r="K299" s="652"/>
      <c r="L299" s="652"/>
      <c r="M299" s="652"/>
      <c r="N299" s="652"/>
      <c r="O299" s="652"/>
      <c r="P299" s="652"/>
      <c r="Q299" s="652"/>
      <c r="R299" s="652"/>
      <c r="S299" s="652"/>
      <c r="T299" s="652"/>
      <c r="U299" s="652"/>
      <c r="V299" s="652"/>
      <c r="W299" s="703"/>
      <c r="X299" s="652"/>
      <c r="Y299" s="652"/>
      <c r="Z299" s="652"/>
      <c r="AA299" s="652"/>
      <c r="AB299" s="652"/>
      <c r="AC299" s="652"/>
      <c r="AD299" s="652"/>
      <c r="AE299" s="652"/>
      <c r="AF299" s="652"/>
      <c r="AG299" s="652"/>
    </row>
    <row r="300" spans="1:33" x14ac:dyDescent="0.2">
      <c r="A300" s="699">
        <v>1</v>
      </c>
      <c r="B300" s="700" t="str">
        <f t="shared" ref="B300:B321" si="6">IFERROR(INDEX(B$1:B$98,MATCH(A300,A$1:A$98,0)),"")</f>
        <v>Aarne Välja</v>
      </c>
      <c r="C300" s="711">
        <v>40</v>
      </c>
      <c r="D300" s="653"/>
      <c r="E300" s="653"/>
      <c r="F300" s="652"/>
      <c r="G300" s="652"/>
      <c r="H300" s="652"/>
      <c r="I300" s="652"/>
      <c r="J300" s="652"/>
      <c r="K300" s="652"/>
      <c r="L300" s="652"/>
      <c r="M300" s="652"/>
      <c r="N300" s="652"/>
      <c r="O300" s="652"/>
      <c r="P300" s="652"/>
      <c r="Q300" s="652"/>
      <c r="R300" s="652"/>
      <c r="S300" s="652"/>
      <c r="T300" s="652"/>
      <c r="U300" s="652"/>
      <c r="V300" s="652"/>
      <c r="W300" s="652"/>
      <c r="X300" s="652"/>
      <c r="Y300" s="652"/>
      <c r="Z300" s="652"/>
      <c r="AA300" s="652"/>
      <c r="AB300" s="652"/>
      <c r="AC300" s="652"/>
      <c r="AD300" s="652"/>
      <c r="AE300" s="652"/>
      <c r="AF300" s="652"/>
      <c r="AG300" s="652"/>
    </row>
    <row r="301" spans="1:33" x14ac:dyDescent="0.2">
      <c r="A301" s="699">
        <v>2</v>
      </c>
      <c r="B301" s="700" t="str">
        <f t="shared" si="6"/>
        <v>Jaan Sepp</v>
      </c>
      <c r="C301" s="711">
        <v>34</v>
      </c>
      <c r="D301" s="653"/>
      <c r="E301" s="653"/>
      <c r="F301" s="652"/>
      <c r="G301" s="652"/>
      <c r="H301" s="652"/>
      <c r="I301" s="652"/>
      <c r="J301" s="652"/>
      <c r="K301" s="652"/>
      <c r="L301" s="652"/>
      <c r="M301" s="652"/>
      <c r="N301" s="652"/>
      <c r="O301" s="652"/>
      <c r="P301" s="652"/>
      <c r="Q301" s="652"/>
      <c r="R301" s="652"/>
      <c r="S301" s="652"/>
      <c r="T301" s="652"/>
      <c r="U301" s="652"/>
      <c r="V301" s="652"/>
      <c r="W301" s="652"/>
      <c r="X301" s="652"/>
      <c r="Y301" s="652"/>
      <c r="Z301" s="652"/>
      <c r="AA301" s="652"/>
      <c r="AB301" s="652"/>
      <c r="AC301" s="652"/>
      <c r="AD301" s="652"/>
      <c r="AE301" s="652"/>
      <c r="AF301" s="652"/>
      <c r="AG301" s="652"/>
    </row>
    <row r="302" spans="1:33" x14ac:dyDescent="0.2">
      <c r="A302" s="699">
        <v>3</v>
      </c>
      <c r="B302" s="700" t="str">
        <f t="shared" si="6"/>
        <v>Andres Veski</v>
      </c>
      <c r="C302" s="711">
        <v>30</v>
      </c>
      <c r="D302" s="653"/>
      <c r="E302" s="653"/>
      <c r="F302" s="652"/>
      <c r="G302" s="652"/>
      <c r="H302" s="652"/>
      <c r="I302" s="652"/>
      <c r="J302" s="652"/>
      <c r="K302" s="652"/>
      <c r="L302" s="652"/>
      <c r="M302" s="652"/>
      <c r="N302" s="652"/>
      <c r="O302" s="652"/>
      <c r="P302" s="652"/>
      <c r="Q302" s="652"/>
      <c r="R302" s="652"/>
      <c r="S302" s="652"/>
      <c r="T302" s="652"/>
      <c r="U302" s="652"/>
      <c r="V302" s="652"/>
      <c r="W302" s="652"/>
      <c r="X302" s="652"/>
      <c r="Y302" s="652"/>
      <c r="Z302" s="652"/>
      <c r="AA302" s="652"/>
      <c r="AB302" s="652"/>
      <c r="AC302" s="652"/>
      <c r="AD302" s="652"/>
      <c r="AE302" s="652"/>
      <c r="AF302" s="652"/>
      <c r="AG302" s="652"/>
    </row>
    <row r="303" spans="1:33" x14ac:dyDescent="0.2">
      <c r="A303" s="699">
        <v>4</v>
      </c>
      <c r="B303" s="700" t="str">
        <f t="shared" si="6"/>
        <v>Matti Vinni</v>
      </c>
      <c r="C303" s="711">
        <v>26</v>
      </c>
      <c r="D303" s="653"/>
      <c r="E303" s="653"/>
      <c r="F303" s="652"/>
      <c r="G303" s="652"/>
      <c r="H303" s="652"/>
      <c r="I303" s="652"/>
      <c r="J303" s="652"/>
      <c r="K303" s="652"/>
      <c r="L303" s="652"/>
      <c r="M303" s="652"/>
      <c r="N303" s="652"/>
      <c r="O303" s="652"/>
      <c r="P303" s="652"/>
      <c r="Q303" s="652"/>
      <c r="R303" s="652"/>
      <c r="S303" s="652"/>
      <c r="T303" s="652"/>
      <c r="U303" s="652"/>
      <c r="V303" s="652"/>
      <c r="W303" s="652"/>
      <c r="X303" s="652"/>
      <c r="Y303" s="652"/>
      <c r="Z303" s="652"/>
      <c r="AA303" s="652"/>
      <c r="AB303" s="652"/>
      <c r="AC303" s="652"/>
      <c r="AD303" s="652"/>
      <c r="AE303" s="652"/>
      <c r="AF303" s="652"/>
      <c r="AG303" s="652"/>
    </row>
    <row r="304" spans="1:33" x14ac:dyDescent="0.2">
      <c r="A304" s="699">
        <v>5</v>
      </c>
      <c r="B304" s="700" t="str">
        <f t="shared" si="6"/>
        <v>Tõnu Piik</v>
      </c>
      <c r="C304" s="711">
        <v>24</v>
      </c>
      <c r="D304" s="653"/>
      <c r="E304" s="653"/>
      <c r="F304" s="652"/>
      <c r="G304" s="652"/>
      <c r="H304" s="652"/>
      <c r="I304" s="652"/>
      <c r="J304" s="652"/>
      <c r="K304" s="652"/>
      <c r="L304" s="652"/>
      <c r="M304" s="652"/>
      <c r="N304" s="652"/>
      <c r="O304" s="652"/>
      <c r="P304" s="652"/>
      <c r="Q304" s="652"/>
      <c r="R304" s="652"/>
      <c r="S304" s="652"/>
      <c r="T304" s="652"/>
      <c r="U304" s="652"/>
      <c r="V304" s="652"/>
      <c r="W304" s="703"/>
      <c r="X304" s="652"/>
      <c r="Y304" s="652"/>
      <c r="Z304" s="652"/>
      <c r="AA304" s="652"/>
      <c r="AB304" s="652"/>
      <c r="AC304" s="652"/>
      <c r="AD304" s="652"/>
      <c r="AE304" s="652"/>
      <c r="AF304" s="652"/>
      <c r="AG304" s="652"/>
    </row>
    <row r="305" spans="1:33" x14ac:dyDescent="0.2">
      <c r="A305" s="699">
        <v>6</v>
      </c>
      <c r="B305" s="700" t="str">
        <f t="shared" si="6"/>
        <v>Enn Tokman</v>
      </c>
      <c r="C305" s="711">
        <v>22</v>
      </c>
      <c r="D305" s="653"/>
      <c r="E305" s="653"/>
      <c r="F305" s="652"/>
      <c r="G305" s="652"/>
      <c r="H305" s="652"/>
      <c r="I305" s="652"/>
      <c r="J305" s="652"/>
      <c r="K305" s="652"/>
      <c r="L305" s="652"/>
      <c r="M305" s="652"/>
      <c r="N305" s="652"/>
      <c r="O305" s="652"/>
      <c r="P305" s="652"/>
      <c r="Q305" s="652"/>
      <c r="R305" s="652"/>
      <c r="S305" s="652"/>
      <c r="T305" s="652"/>
      <c r="U305" s="652"/>
      <c r="V305" s="652"/>
      <c r="W305" s="652"/>
      <c r="X305" s="652"/>
      <c r="Y305" s="652"/>
      <c r="Z305" s="652"/>
      <c r="AA305" s="652"/>
      <c r="AB305" s="652"/>
      <c r="AC305" s="652"/>
      <c r="AD305" s="652"/>
      <c r="AE305" s="652"/>
      <c r="AF305" s="652"/>
      <c r="AG305" s="652"/>
    </row>
    <row r="306" spans="1:33" x14ac:dyDescent="0.2">
      <c r="A306" s="699">
        <v>7</v>
      </c>
      <c r="B306" s="700" t="str">
        <f t="shared" si="6"/>
        <v>Oskar Sepp</v>
      </c>
      <c r="C306" s="711">
        <v>20</v>
      </c>
      <c r="D306" s="653"/>
      <c r="E306" s="653"/>
      <c r="F306" s="652"/>
      <c r="G306" s="652"/>
      <c r="H306" s="652"/>
      <c r="I306" s="652"/>
      <c r="J306" s="652"/>
      <c r="K306" s="652"/>
      <c r="L306" s="652"/>
      <c r="M306" s="652"/>
      <c r="N306" s="652"/>
      <c r="O306" s="652"/>
      <c r="P306" s="652"/>
      <c r="Q306" s="652"/>
      <c r="R306" s="652"/>
      <c r="S306" s="652"/>
      <c r="T306" s="652"/>
      <c r="U306" s="652"/>
      <c r="V306" s="652"/>
      <c r="W306" s="652"/>
      <c r="X306" s="652"/>
      <c r="Y306" s="652"/>
      <c r="Z306" s="652"/>
      <c r="AA306" s="652"/>
      <c r="AB306" s="652"/>
      <c r="AC306" s="652"/>
      <c r="AD306" s="652"/>
      <c r="AE306" s="652"/>
      <c r="AF306" s="652"/>
      <c r="AG306" s="652"/>
    </row>
    <row r="307" spans="1:33" x14ac:dyDescent="0.2">
      <c r="A307" s="699">
        <v>8</v>
      </c>
      <c r="B307" s="700" t="str">
        <f t="shared" si="6"/>
        <v>Lemmit Toomra</v>
      </c>
      <c r="C307" s="711">
        <v>18</v>
      </c>
      <c r="D307" s="653"/>
      <c r="E307" s="653"/>
      <c r="F307" s="652"/>
      <c r="G307" s="652"/>
      <c r="H307" s="652"/>
      <c r="I307" s="652"/>
      <c r="J307" s="652"/>
      <c r="K307" s="652"/>
      <c r="L307" s="652"/>
      <c r="M307" s="652"/>
      <c r="N307" s="652"/>
      <c r="O307" s="652"/>
      <c r="P307" s="652"/>
      <c r="Q307" s="652"/>
      <c r="R307" s="652"/>
      <c r="S307" s="652"/>
      <c r="T307" s="652"/>
      <c r="U307" s="652"/>
      <c r="V307" s="652"/>
      <c r="W307" s="652"/>
      <c r="X307" s="652"/>
      <c r="Y307" s="652"/>
      <c r="Z307" s="652"/>
      <c r="AA307" s="652"/>
      <c r="AB307" s="652"/>
      <c r="AC307" s="652"/>
      <c r="AD307" s="652"/>
      <c r="AE307" s="652"/>
      <c r="AF307" s="652"/>
      <c r="AG307" s="652"/>
    </row>
    <row r="308" spans="1:33" x14ac:dyDescent="0.2">
      <c r="A308" s="699">
        <v>9</v>
      </c>
      <c r="B308" s="700" t="str">
        <f t="shared" si="6"/>
        <v>Kenneth Muusikus</v>
      </c>
      <c r="C308" s="711">
        <v>16</v>
      </c>
      <c r="D308" s="652"/>
      <c r="E308" s="652"/>
      <c r="F308" s="652"/>
      <c r="G308" s="652"/>
      <c r="H308" s="652"/>
      <c r="I308" s="652"/>
      <c r="J308" s="652"/>
      <c r="K308" s="652"/>
      <c r="L308" s="652"/>
      <c r="M308" s="652"/>
      <c r="N308" s="652"/>
      <c r="O308" s="652"/>
      <c r="P308" s="652"/>
      <c r="Q308" s="652"/>
      <c r="R308" s="652"/>
      <c r="S308" s="652"/>
      <c r="T308" s="652"/>
      <c r="U308" s="652"/>
      <c r="V308" s="652"/>
      <c r="W308" s="652"/>
      <c r="X308" s="652"/>
      <c r="Y308" s="652"/>
      <c r="Z308" s="652"/>
      <c r="AA308" s="652"/>
      <c r="AB308" s="652"/>
      <c r="AC308" s="652"/>
      <c r="AD308" s="652"/>
      <c r="AE308" s="652"/>
      <c r="AF308" s="652"/>
      <c r="AG308" s="652"/>
    </row>
    <row r="309" spans="1:33" x14ac:dyDescent="0.2">
      <c r="A309" s="699">
        <v>10</v>
      </c>
      <c r="B309" s="700" t="str">
        <f t="shared" si="6"/>
        <v>Ivar Viljaste</v>
      </c>
      <c r="C309" s="701">
        <v>14</v>
      </c>
      <c r="D309" s="652"/>
      <c r="E309" s="652"/>
      <c r="F309" s="652"/>
      <c r="G309" s="652"/>
      <c r="H309" s="652"/>
      <c r="I309" s="652"/>
      <c r="J309" s="652"/>
      <c r="K309" s="652"/>
      <c r="L309" s="652"/>
      <c r="M309" s="652"/>
      <c r="N309" s="652"/>
      <c r="O309" s="652"/>
      <c r="P309" s="652"/>
      <c r="Q309" s="652"/>
      <c r="R309" s="652"/>
      <c r="S309" s="652"/>
      <c r="T309" s="652"/>
      <c r="U309" s="652"/>
      <c r="V309" s="652"/>
      <c r="W309" s="652"/>
      <c r="X309" s="652"/>
      <c r="Y309" s="652"/>
      <c r="Z309" s="652"/>
      <c r="AA309" s="652"/>
      <c r="AB309" s="652"/>
      <c r="AC309" s="652"/>
      <c r="AD309" s="652"/>
      <c r="AE309" s="652"/>
      <c r="AF309" s="652"/>
      <c r="AG309" s="652"/>
    </row>
    <row r="310" spans="1:33" x14ac:dyDescent="0.2">
      <c r="A310" s="699">
        <v>11</v>
      </c>
      <c r="B310" s="700" t="str">
        <f t="shared" si="6"/>
        <v>Boriss Klubov</v>
      </c>
      <c r="C310" s="701">
        <v>12</v>
      </c>
      <c r="D310" s="652"/>
      <c r="E310" s="652"/>
      <c r="F310" s="652"/>
      <c r="G310" s="652"/>
      <c r="H310" s="652"/>
      <c r="I310" s="652"/>
      <c r="J310" s="652"/>
      <c r="K310" s="652"/>
      <c r="L310" s="652"/>
      <c r="M310" s="652"/>
      <c r="N310" s="652"/>
      <c r="O310" s="652"/>
      <c r="P310" s="652"/>
      <c r="Q310" s="652"/>
      <c r="R310" s="652"/>
      <c r="S310" s="652"/>
      <c r="T310" s="652"/>
      <c r="U310" s="652"/>
      <c r="V310" s="652"/>
      <c r="W310" s="652"/>
      <c r="X310" s="652"/>
      <c r="Y310" s="652"/>
      <c r="Z310" s="652"/>
      <c r="AA310" s="652"/>
      <c r="AB310" s="652"/>
      <c r="AC310" s="652"/>
      <c r="AD310" s="652"/>
      <c r="AE310" s="652"/>
      <c r="AF310" s="652"/>
      <c r="AG310" s="652"/>
    </row>
    <row r="311" spans="1:33" x14ac:dyDescent="0.2">
      <c r="A311" s="699">
        <v>12</v>
      </c>
      <c r="B311" s="700" t="str">
        <f t="shared" si="6"/>
        <v>Elmo Lageda</v>
      </c>
      <c r="C311" s="701">
        <v>10</v>
      </c>
    </row>
    <row r="312" spans="1:33" x14ac:dyDescent="0.2">
      <c r="A312" s="699">
        <v>13</v>
      </c>
      <c r="B312" s="700" t="str">
        <f t="shared" si="6"/>
        <v>Liidia Põllu</v>
      </c>
      <c r="C312" s="701">
        <v>8</v>
      </c>
    </row>
    <row r="313" spans="1:33" x14ac:dyDescent="0.2">
      <c r="A313" s="699">
        <v>14</v>
      </c>
      <c r="B313" s="700" t="str">
        <f t="shared" si="6"/>
        <v>Jaan Saar</v>
      </c>
      <c r="C313" s="701">
        <v>6</v>
      </c>
    </row>
    <row r="314" spans="1:33" x14ac:dyDescent="0.2">
      <c r="A314" s="699">
        <v>15</v>
      </c>
      <c r="B314" s="700" t="str">
        <f t="shared" si="6"/>
        <v>Svetlana Veski</v>
      </c>
      <c r="C314" s="701">
        <v>4</v>
      </c>
    </row>
    <row r="315" spans="1:33" x14ac:dyDescent="0.2">
      <c r="A315" s="699">
        <v>16</v>
      </c>
      <c r="B315" s="700" t="str">
        <f t="shared" si="6"/>
        <v>Andrei Grintšak</v>
      </c>
      <c r="C315" s="701">
        <v>2</v>
      </c>
    </row>
    <row r="316" spans="1:33" x14ac:dyDescent="0.2">
      <c r="A316" s="699">
        <v>17</v>
      </c>
      <c r="B316" s="700" t="str">
        <f t="shared" si="6"/>
        <v>Urmas Jõeäär</v>
      </c>
      <c r="C316" s="701">
        <v>1</v>
      </c>
    </row>
    <row r="317" spans="1:33" x14ac:dyDescent="0.2">
      <c r="A317" s="699">
        <v>18</v>
      </c>
      <c r="B317" s="700" t="str">
        <f t="shared" si="6"/>
        <v>Tarmo Bombe</v>
      </c>
      <c r="C317" s="701">
        <v>1</v>
      </c>
    </row>
    <row r="318" spans="1:33" x14ac:dyDescent="0.2">
      <c r="A318" s="699">
        <v>19</v>
      </c>
      <c r="B318" s="700" t="str">
        <f t="shared" si="6"/>
        <v>Illar Tõnurist</v>
      </c>
      <c r="C318" s="701">
        <v>1</v>
      </c>
    </row>
    <row r="319" spans="1:33" x14ac:dyDescent="0.2">
      <c r="A319" s="699">
        <v>20</v>
      </c>
      <c r="B319" s="700" t="str">
        <f t="shared" si="6"/>
        <v>Vladimir Mihhailov</v>
      </c>
      <c r="C319" s="701">
        <f>IF(21-A319&gt;0,IF(OR(A319=A320,A318=A319),21-A319-0.5,21-A319),1)</f>
        <v>1</v>
      </c>
    </row>
    <row r="320" spans="1:33" x14ac:dyDescent="0.2">
      <c r="A320" s="699">
        <v>21</v>
      </c>
      <c r="B320" s="700" t="str">
        <f t="shared" si="6"/>
        <v>Sirje Viljaste</v>
      </c>
      <c r="C320" s="701">
        <f>IF(21-A320&gt;0,IF(OR(A320=A321,A319=A320),21-A320-0.5,21-A320),1)</f>
        <v>1</v>
      </c>
    </row>
    <row r="321" spans="1:3" x14ac:dyDescent="0.2">
      <c r="A321" s="699">
        <v>22</v>
      </c>
      <c r="B321" s="700" t="str">
        <f t="shared" si="6"/>
        <v>Oleg Rõndenkov</v>
      </c>
      <c r="C321" s="701">
        <f>IF(21-A321&gt;0,IF(OR(A321=#REF!,A320=A321),21-A321-0.5,21-A321),1)</f>
        <v>1</v>
      </c>
    </row>
  </sheetData>
  <conditionalFormatting sqref="C8:C29">
    <cfRule type="expression" dxfId="650" priority="18">
      <formula>IF($C8&gt;$E8,TRUE)</formula>
    </cfRule>
  </conditionalFormatting>
  <conditionalFormatting sqref="E8:E29">
    <cfRule type="expression" dxfId="649" priority="19">
      <formula>IF($C8&lt;$E8,TRUE)</formula>
    </cfRule>
  </conditionalFormatting>
  <conditionalFormatting sqref="K8:K29">
    <cfRule type="expression" dxfId="648" priority="26">
      <formula>IF($K8&gt;$M8,TRUE)</formula>
    </cfRule>
  </conditionalFormatting>
  <conditionalFormatting sqref="M8:M29">
    <cfRule type="expression" dxfId="647" priority="27">
      <formula>IF($K8&lt;$M8,TRUE)</formula>
    </cfRule>
  </conditionalFormatting>
  <conditionalFormatting sqref="O8:O29">
    <cfRule type="expression" dxfId="646" priority="30">
      <formula>IF($O8&gt;$Q8,TRUE)</formula>
    </cfRule>
  </conditionalFormatting>
  <conditionalFormatting sqref="Q8:Q29">
    <cfRule type="expression" dxfId="645" priority="31">
      <formula>IF($O8&lt;$Q8,TRUE)</formula>
    </cfRule>
  </conditionalFormatting>
  <conditionalFormatting sqref="S8:S29">
    <cfRule type="expression" dxfId="644" priority="34">
      <formula>IF($S8&gt;$U8,TRUE)</formula>
    </cfRule>
  </conditionalFormatting>
  <conditionalFormatting sqref="U8:U29">
    <cfRule type="expression" dxfId="643" priority="35">
      <formula>IF($S8&lt;$U8,TRUE)</formula>
    </cfRule>
  </conditionalFormatting>
  <conditionalFormatting sqref="G8:G29">
    <cfRule type="expression" dxfId="642" priority="22">
      <formula>IF($G8&gt;$I8,TRUE)</formula>
    </cfRule>
  </conditionalFormatting>
  <conditionalFormatting sqref="I8:I29">
    <cfRule type="expression" dxfId="641" priority="23">
      <formula>IF($G8&lt;$I8,TRUE)</formula>
    </cfRule>
  </conditionalFormatting>
  <conditionalFormatting sqref="F8:F29">
    <cfRule type="containsText" dxfId="640" priority="9" operator="containsText" text="vaba voor">
      <formula>NOT(ISERROR(SEARCH("vaba voor",F8)))</formula>
    </cfRule>
  </conditionalFormatting>
  <conditionalFormatting sqref="N8:N29">
    <cfRule type="containsText" dxfId="639" priority="7" operator="containsText" text="vaba voor">
      <formula>NOT(ISERROR(SEARCH("vaba voor",N8)))</formula>
    </cfRule>
  </conditionalFormatting>
  <conditionalFormatting sqref="R8:R29">
    <cfRule type="containsText" dxfId="638" priority="10" operator="containsText" text="vaba voor">
      <formula>NOT(ISERROR(SEARCH("vaba voor",R8)))</formula>
    </cfRule>
  </conditionalFormatting>
  <conditionalFormatting sqref="V8:V29">
    <cfRule type="containsText" dxfId="637" priority="6" operator="containsText" text="vaba voor">
      <formula>NOT(ISERROR(SEARCH("vaba voor",V8)))</formula>
    </cfRule>
  </conditionalFormatting>
  <conditionalFormatting sqref="J8:J29">
    <cfRule type="containsText" dxfId="636" priority="8" operator="containsText" text="vaba voor">
      <formula>NOT(ISERROR(SEARCH("vaba voor",J8)))</formula>
    </cfRule>
  </conditionalFormatting>
  <conditionalFormatting sqref="C8:F29">
    <cfRule type="expression" dxfId="635" priority="14">
      <formula>IF(AND(ISNUMBER($C8),$C8=$E8),TRUE)</formula>
    </cfRule>
    <cfRule type="expression" dxfId="634" priority="16">
      <formula>IF($C8&gt;$E8,TRUE)</formula>
    </cfRule>
    <cfRule type="expression" dxfId="633" priority="17">
      <formula>IF($C8&lt;$E8,TRUE)</formula>
    </cfRule>
  </conditionalFormatting>
  <conditionalFormatting sqref="G8:J29">
    <cfRule type="expression" dxfId="632" priority="15">
      <formula>IF(AND(ISNUMBER($G8),$G8=$I8),TRUE)</formula>
    </cfRule>
    <cfRule type="expression" dxfId="631" priority="20">
      <formula>IF($G8&gt;$I8,TRUE)</formula>
    </cfRule>
    <cfRule type="expression" dxfId="630" priority="21">
      <formula>IF($G8&lt;$I8,TRUE)</formula>
    </cfRule>
  </conditionalFormatting>
  <conditionalFormatting sqref="K8:N29">
    <cfRule type="expression" dxfId="629" priority="13">
      <formula>IF(AND(ISNUMBER($K8),$K8=$M8),TRUE)</formula>
    </cfRule>
    <cfRule type="expression" dxfId="628" priority="24">
      <formula>IF($K8&gt;$M8,TRUE)</formula>
    </cfRule>
    <cfRule type="expression" dxfId="627" priority="25">
      <formula>IF($K8&lt;$M8,TRUE)</formula>
    </cfRule>
  </conditionalFormatting>
  <conditionalFormatting sqref="O8:R29">
    <cfRule type="expression" dxfId="626" priority="12">
      <formula>IF(AND(ISNUMBER($O8),$O8=$Q8),TRUE)</formula>
    </cfRule>
    <cfRule type="expression" dxfId="625" priority="28">
      <formula>IF($O8&gt;$Q8,TRUE)</formula>
    </cfRule>
    <cfRule type="expression" dxfId="624" priority="29">
      <formula>IF($O8&lt;$Q8,TRUE)</formula>
    </cfRule>
  </conditionalFormatting>
  <conditionalFormatting sqref="S8:V29">
    <cfRule type="expression" dxfId="623" priority="11">
      <formula>IF(AND(ISNUMBER($S8),$S8=$U8),TRUE)</formula>
    </cfRule>
    <cfRule type="expression" dxfId="622" priority="32">
      <formula>IF($S8&gt;$U8,TRUE)</formula>
    </cfRule>
    <cfRule type="expression" dxfId="621" priority="33">
      <formula>IF($S8&lt;$U8,TRUE)</formula>
    </cfRule>
  </conditionalFormatting>
  <conditionalFormatting sqref="C8:C29 G8:G29 K8:K29 O8:O29 S8:S29">
    <cfRule type="expression" dxfId="620" priority="5">
      <formula>AND(C8=0,E8=13)</formula>
    </cfRule>
  </conditionalFormatting>
  <conditionalFormatting sqref="AE7:AE29">
    <cfRule type="expression" dxfId="619" priority="1">
      <formula>AND(AF7="",COUNTIF(AE7,"*,*")=0)</formula>
    </cfRule>
  </conditionalFormatting>
  <conditionalFormatting sqref="A8:A29">
    <cfRule type="duplicateValues" dxfId="618" priority="482"/>
  </conditionalFormatting>
  <conditionalFormatting sqref="A300:A321">
    <cfRule type="duplicateValues" dxfId="617" priority="488"/>
  </conditionalFormatting>
  <conditionalFormatting sqref="B300:B321">
    <cfRule type="expression" dxfId="616" priority="489">
      <formula>A300=3</formula>
    </cfRule>
    <cfRule type="expression" dxfId="615" priority="490">
      <formula>A300=2</formula>
    </cfRule>
    <cfRule type="expression" dxfId="614" priority="491">
      <formula>A300=1</formula>
    </cfRule>
    <cfRule type="containsBlanks" dxfId="613" priority="492">
      <formula>LEN(TRIM(B300))=0</formula>
    </cfRule>
    <cfRule type="duplicateValues" dxfId="612" priority="493"/>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H323"/>
  <sheetViews>
    <sheetView showGridLines="0" showRowColHeaders="0" zoomScaleNormal="100" workbookViewId="0">
      <pane ySplit="2" topLeftCell="A3" activePane="bottomLeft" state="frozen"/>
      <selection pane="bottomLeft" activeCell="R1" sqref="R1"/>
    </sheetView>
  </sheetViews>
  <sheetFormatPr defaultRowHeight="12.75" x14ac:dyDescent="0.2"/>
  <cols>
    <col min="1" max="1" width="3.28515625" customWidth="1"/>
    <col min="2" max="2" width="16.570312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0" width="9.140625" hidden="1" customWidth="1"/>
    <col min="31" max="31" width="16.5703125" hidden="1" customWidth="1"/>
    <col min="32" max="32" width="9.140625" hidden="1" customWidth="1"/>
    <col min="33" max="33" width="9.140625" customWidth="1"/>
  </cols>
  <sheetData>
    <row r="1" spans="1:34" x14ac:dyDescent="0.2">
      <c r="A1" s="742" t="str">
        <f>UPPER((Kalend!E41)&amp;" - "&amp;(Kalend!C41)&amp;" - "&amp;(Kalend!D41))</f>
        <v>14 - IDA-VIRUMAA MV - ÜKSIK</v>
      </c>
      <c r="B1" s="652"/>
      <c r="C1" s="653"/>
      <c r="D1" s="652"/>
      <c r="E1" s="652"/>
      <c r="J1" s="410" t="str">
        <f>HYPERLINK("#Kalend!I1","Kalender")</f>
        <v>Kalender</v>
      </c>
      <c r="K1" s="410"/>
      <c r="L1" s="410"/>
      <c r="M1" s="410"/>
      <c r="N1" s="654" t="str">
        <f>HYPERLINK("#Reit!r1","Reiting")</f>
        <v>Reiting</v>
      </c>
      <c r="O1" s="655"/>
      <c r="P1" s="656"/>
      <c r="Q1" s="657"/>
      <c r="R1" s="657"/>
      <c r="T1" s="656"/>
      <c r="U1" s="656"/>
      <c r="V1" s="656"/>
      <c r="W1" s="652"/>
      <c r="X1" s="658"/>
      <c r="Y1" s="652"/>
      <c r="Z1" s="652"/>
      <c r="AA1" s="652"/>
      <c r="AB1" s="652"/>
      <c r="AD1" s="417" t="s">
        <v>181</v>
      </c>
      <c r="AE1" s="822"/>
      <c r="AF1" s="822"/>
      <c r="AG1" s="652"/>
      <c r="AH1" s="652"/>
    </row>
    <row r="2" spans="1:34" x14ac:dyDescent="0.2">
      <c r="A2" s="659" t="str">
        <f>"Toimumisaeg: "&amp;(Kalend!A41)&amp;" kell "&amp;(Kalend!B41)</f>
        <v>Toimumisaeg: P, 08.09.2019 kell 11:00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52"/>
      <c r="AB2" s="652"/>
      <c r="AD2" s="659"/>
      <c r="AE2" s="659"/>
      <c r="AF2" s="659"/>
      <c r="AG2" s="652"/>
      <c r="AH2" s="652"/>
    </row>
    <row r="3" spans="1:34" x14ac:dyDescent="0.2">
      <c r="A3" s="659" t="str">
        <f>"Toimumiskoht: "&amp;(Kalend!F41)</f>
        <v>Toimumiskoht: Voka staadion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823" t="s">
        <v>362</v>
      </c>
      <c r="AF3" s="659"/>
      <c r="AG3" s="652"/>
      <c r="AH3" s="652"/>
    </row>
    <row r="4" spans="1:34" x14ac:dyDescent="0.2">
      <c r="A4" s="659" t="str">
        <f>"Korraldaja: "&amp;(Kalend!G41)</f>
        <v>Korraldaja: Ivar Viljaste</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824" t="s">
        <v>479</v>
      </c>
      <c r="AE4" s="825"/>
      <c r="AF4" s="825"/>
      <c r="AG4" s="652"/>
      <c r="AH4" s="652"/>
    </row>
    <row r="5" spans="1:34"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824" t="s">
        <v>364</v>
      </c>
      <c r="AE5" s="826" t="s">
        <v>208</v>
      </c>
      <c r="AF5" s="826"/>
      <c r="AG5" s="652"/>
      <c r="AH5" s="652"/>
    </row>
    <row r="6" spans="1:34" hidden="1"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824" t="s">
        <v>376</v>
      </c>
      <c r="AE6" s="825"/>
      <c r="AF6" s="825"/>
      <c r="AG6" s="652"/>
      <c r="AH6" s="652"/>
    </row>
    <row r="7" spans="1:34" hidden="1"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6"/>
      <c r="AE7" s="829"/>
      <c r="AF7" s="830"/>
      <c r="AG7" s="652"/>
      <c r="AH7" s="652"/>
    </row>
    <row r="8" spans="1:34" hidden="1" x14ac:dyDescent="0.2">
      <c r="A8" s="685">
        <v>1</v>
      </c>
      <c r="B8" s="686" t="s">
        <v>20</v>
      </c>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676">
        <f ca="1">SUM(AF8:AF8)</f>
        <v>364</v>
      </c>
      <c r="AE8" s="829" t="str">
        <f t="shared" ref="AE8:AE31" si="0">$B8</f>
        <v>Ivar Viljaste</v>
      </c>
      <c r="AF8" s="830">
        <f ca="1">IFERROR(INDEX(Reit!$I:$I,MATCH(AE8,Reit!$F:$F,0)),"")</f>
        <v>364</v>
      </c>
      <c r="AG8" s="652"/>
      <c r="AH8" s="652"/>
    </row>
    <row r="9" spans="1:34" hidden="1" x14ac:dyDescent="0.2">
      <c r="A9" s="685">
        <v>2</v>
      </c>
      <c r="B9" s="686" t="s">
        <v>229</v>
      </c>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27" si="1">IF(C9&gt;E9,J$3,IF(C9&lt;E9,J$5,IF(ISNUMBER(C9),J$4,0)))+IF(G9&gt;I9,J$3,IF(G9&lt;I9,J$5,IF(ISNUMBER(G9),J$4,0)))+IF(K9&gt;M9,J$3,IF(K9&lt;M9,J$5,IF(ISNUMBER(K9),J$4,0)))+IF(O9&gt;Q9,J$3,IF(O9&lt;Q9,J$5,IF(ISNUMBER(O9),J$4,0)))+IF(S9&gt;U9,J$3,IF(S9&lt;U9,J$5,IF(ISNUMBER(S9),J$4,0)))</f>
        <v>0</v>
      </c>
      <c r="X9" s="692"/>
      <c r="Y9" s="687">
        <f t="shared" ref="Y9:Y27" si="2">C9+G9+K9+O9+S9</f>
        <v>0</v>
      </c>
      <c r="Z9" s="688" t="s">
        <v>377</v>
      </c>
      <c r="AA9" s="693">
        <f t="shared" ref="AA9:AA27" si="3">E9+I9+M9+Q9+U9</f>
        <v>0</v>
      </c>
      <c r="AB9" s="694">
        <f t="shared" ref="AB9:AB27" si="4">Y9-AA9</f>
        <v>0</v>
      </c>
      <c r="AC9" s="695"/>
      <c r="AD9" s="676">
        <f t="shared" ref="AD9:AD29" ca="1" si="5">SUM(AF9:AF9)</f>
        <v>224</v>
      </c>
      <c r="AE9" s="829" t="str">
        <f t="shared" si="0"/>
        <v>Janek Tarto</v>
      </c>
      <c r="AF9" s="830">
        <f ca="1">IFERROR(INDEX(Reit!$I:$I,MATCH(AE9,Reit!$F:$F,0)),"")</f>
        <v>224</v>
      </c>
      <c r="AG9" s="652"/>
      <c r="AH9" s="652"/>
    </row>
    <row r="10" spans="1:34" hidden="1" x14ac:dyDescent="0.2">
      <c r="A10" s="685">
        <v>3</v>
      </c>
      <c r="B10" s="686" t="s">
        <v>239</v>
      </c>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1"/>
        <v>0</v>
      </c>
      <c r="X10" s="692"/>
      <c r="Y10" s="687">
        <f t="shared" si="2"/>
        <v>0</v>
      </c>
      <c r="Z10" s="688" t="s">
        <v>377</v>
      </c>
      <c r="AA10" s="693">
        <f t="shared" si="3"/>
        <v>0</v>
      </c>
      <c r="AB10" s="694">
        <f t="shared" si="4"/>
        <v>0</v>
      </c>
      <c r="AC10" s="695"/>
      <c r="AD10" s="676">
        <f t="shared" ca="1" si="5"/>
        <v>116</v>
      </c>
      <c r="AE10" s="829" t="str">
        <f t="shared" si="0"/>
        <v>Henri Mitt</v>
      </c>
      <c r="AF10" s="830">
        <f ca="1">IFERROR(INDEX(Reit!$I:$I,MATCH(AE10,Reit!$F:$F,0)),"")</f>
        <v>116</v>
      </c>
      <c r="AG10" s="652"/>
      <c r="AH10" s="652"/>
    </row>
    <row r="11" spans="1:34" hidden="1" x14ac:dyDescent="0.2">
      <c r="A11" s="685">
        <v>4</v>
      </c>
      <c r="B11" s="686" t="s">
        <v>225</v>
      </c>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1"/>
        <v>0</v>
      </c>
      <c r="X11" s="692"/>
      <c r="Y11" s="687">
        <f t="shared" si="2"/>
        <v>0</v>
      </c>
      <c r="Z11" s="688" t="s">
        <v>377</v>
      </c>
      <c r="AA11" s="693">
        <f t="shared" si="3"/>
        <v>0</v>
      </c>
      <c r="AB11" s="694">
        <f t="shared" si="4"/>
        <v>0</v>
      </c>
      <c r="AC11" s="695"/>
      <c r="AD11" s="676">
        <f t="shared" ca="1" si="5"/>
        <v>258</v>
      </c>
      <c r="AE11" s="829" t="str">
        <f t="shared" si="0"/>
        <v>Kenneth Muusikus</v>
      </c>
      <c r="AF11" s="830">
        <f ca="1">IFERROR(INDEX(Reit!$I:$I,MATCH(AE11,Reit!$F:$F,0)),"")</f>
        <v>258</v>
      </c>
      <c r="AG11" s="652"/>
      <c r="AH11" s="652"/>
    </row>
    <row r="12" spans="1:34" hidden="1" x14ac:dyDescent="0.2">
      <c r="A12" s="685">
        <v>5</v>
      </c>
      <c r="B12" s="686" t="s">
        <v>227</v>
      </c>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1"/>
        <v>0</v>
      </c>
      <c r="X12" s="692"/>
      <c r="Y12" s="687">
        <f t="shared" si="2"/>
        <v>0</v>
      </c>
      <c r="Z12" s="688" t="s">
        <v>377</v>
      </c>
      <c r="AA12" s="693">
        <f t="shared" si="3"/>
        <v>0</v>
      </c>
      <c r="AB12" s="694">
        <f t="shared" si="4"/>
        <v>0</v>
      </c>
      <c r="AC12" s="695"/>
      <c r="AD12" s="676">
        <f t="shared" ca="1" si="5"/>
        <v>234</v>
      </c>
      <c r="AE12" s="829" t="str">
        <f t="shared" si="0"/>
        <v>Andres Veski</v>
      </c>
      <c r="AF12" s="830">
        <f ca="1">IFERROR(INDEX(Reit!$I:$I,MATCH(AE12,Reit!$F:$F,0)),"")</f>
        <v>234</v>
      </c>
      <c r="AG12" s="652"/>
      <c r="AH12" s="652"/>
    </row>
    <row r="13" spans="1:34" hidden="1" x14ac:dyDescent="0.2">
      <c r="A13" s="685">
        <v>6</v>
      </c>
      <c r="B13" s="686" t="s">
        <v>222</v>
      </c>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1"/>
        <v>0</v>
      </c>
      <c r="X13" s="692"/>
      <c r="Y13" s="687">
        <f t="shared" si="2"/>
        <v>0</v>
      </c>
      <c r="Z13" s="688" t="s">
        <v>377</v>
      </c>
      <c r="AA13" s="693">
        <f t="shared" si="3"/>
        <v>0</v>
      </c>
      <c r="AB13" s="694">
        <f t="shared" si="4"/>
        <v>0</v>
      </c>
      <c r="AC13" s="695"/>
      <c r="AD13" s="676">
        <f t="shared" ca="1" si="5"/>
        <v>294</v>
      </c>
      <c r="AE13" s="829" t="str">
        <f t="shared" si="0"/>
        <v>Matti Vinni</v>
      </c>
      <c r="AF13" s="830">
        <f ca="1">IFERROR(INDEX(Reit!$I:$I,MATCH(AE13,Reit!$F:$F,0)),"")</f>
        <v>294</v>
      </c>
      <c r="AG13" s="652"/>
      <c r="AH13" s="652"/>
    </row>
    <row r="14" spans="1:34" hidden="1" x14ac:dyDescent="0.2">
      <c r="A14" s="685">
        <v>7</v>
      </c>
      <c r="B14" s="696" t="s">
        <v>255</v>
      </c>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1"/>
        <v>0</v>
      </c>
      <c r="X14" s="692"/>
      <c r="Y14" s="687">
        <f t="shared" si="2"/>
        <v>0</v>
      </c>
      <c r="Z14" s="688" t="s">
        <v>377</v>
      </c>
      <c r="AA14" s="693">
        <f t="shared" si="3"/>
        <v>0</v>
      </c>
      <c r="AB14" s="694">
        <f t="shared" si="4"/>
        <v>0</v>
      </c>
      <c r="AC14" s="695"/>
      <c r="AD14" s="676">
        <f t="shared" ca="1" si="5"/>
        <v>51</v>
      </c>
      <c r="AE14" s="829" t="str">
        <f t="shared" si="0"/>
        <v>Jaan Saar</v>
      </c>
      <c r="AF14" s="830">
        <f ca="1">IFERROR(INDEX(Reit!$I:$I,MATCH(AE14,Reit!$F:$F,0)),"")</f>
        <v>51</v>
      </c>
      <c r="AG14" s="652"/>
      <c r="AH14" s="652"/>
    </row>
    <row r="15" spans="1:34" hidden="1" x14ac:dyDescent="0.2">
      <c r="A15" s="685">
        <v>8</v>
      </c>
      <c r="B15" s="696" t="s">
        <v>235</v>
      </c>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1"/>
        <v>0</v>
      </c>
      <c r="X15" s="692"/>
      <c r="Y15" s="687">
        <f t="shared" si="2"/>
        <v>0</v>
      </c>
      <c r="Z15" s="688" t="s">
        <v>377</v>
      </c>
      <c r="AA15" s="693">
        <f t="shared" si="3"/>
        <v>0</v>
      </c>
      <c r="AB15" s="694">
        <f t="shared" si="4"/>
        <v>0</v>
      </c>
      <c r="AC15" s="695"/>
      <c r="AD15" s="676">
        <f t="shared" ca="1" si="5"/>
        <v>158</v>
      </c>
      <c r="AE15" s="829" t="str">
        <f t="shared" si="0"/>
        <v>Tõnu Kapper</v>
      </c>
      <c r="AF15" s="830">
        <f ca="1">IFERROR(INDEX(Reit!$I:$I,MATCH(AE15,Reit!$F:$F,0)),"")</f>
        <v>158</v>
      </c>
      <c r="AG15" s="652"/>
      <c r="AH15" s="652"/>
    </row>
    <row r="16" spans="1:34" hidden="1" x14ac:dyDescent="0.2">
      <c r="A16" s="685">
        <v>9</v>
      </c>
      <c r="B16" s="686" t="s">
        <v>221</v>
      </c>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1"/>
        <v>0</v>
      </c>
      <c r="X16" s="692"/>
      <c r="Y16" s="687">
        <f t="shared" si="2"/>
        <v>0</v>
      </c>
      <c r="Z16" s="688" t="s">
        <v>377</v>
      </c>
      <c r="AA16" s="693">
        <f t="shared" si="3"/>
        <v>0</v>
      </c>
      <c r="AB16" s="694">
        <f t="shared" si="4"/>
        <v>0</v>
      </c>
      <c r="AC16" s="695"/>
      <c r="AD16" s="676">
        <f t="shared" ca="1" si="5"/>
        <v>310</v>
      </c>
      <c r="AE16" s="829" t="str">
        <f t="shared" si="0"/>
        <v>Jaan Sepp</v>
      </c>
      <c r="AF16" s="830">
        <f ca="1">IFERROR(INDEX(Reit!$I:$I,MATCH(AE16,Reit!$F:$F,0)),"")</f>
        <v>310</v>
      </c>
      <c r="AG16" s="652"/>
      <c r="AH16" s="652"/>
    </row>
    <row r="17" spans="1:34" hidden="1" x14ac:dyDescent="0.2">
      <c r="A17" s="685">
        <v>10</v>
      </c>
      <c r="B17" s="686" t="s">
        <v>228</v>
      </c>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1"/>
        <v>0</v>
      </c>
      <c r="X17" s="692"/>
      <c r="Y17" s="687">
        <f t="shared" si="2"/>
        <v>0</v>
      </c>
      <c r="Z17" s="688" t="s">
        <v>377</v>
      </c>
      <c r="AA17" s="693">
        <f t="shared" si="3"/>
        <v>0</v>
      </c>
      <c r="AB17" s="694">
        <f t="shared" si="4"/>
        <v>0</v>
      </c>
      <c r="AC17" s="695"/>
      <c r="AD17" s="676">
        <f t="shared" ca="1" si="5"/>
        <v>228</v>
      </c>
      <c r="AE17" s="829" t="str">
        <f t="shared" si="0"/>
        <v>Mait Metsla</v>
      </c>
      <c r="AF17" s="830">
        <f ca="1">IFERROR(INDEX(Reit!$I:$I,MATCH(AE17,Reit!$F:$F,0)),"")</f>
        <v>228</v>
      </c>
      <c r="AG17" s="652"/>
      <c r="AH17" s="652"/>
    </row>
    <row r="18" spans="1:34" hidden="1" x14ac:dyDescent="0.2">
      <c r="A18" s="685">
        <v>11</v>
      </c>
      <c r="B18" s="696" t="s">
        <v>578</v>
      </c>
      <c r="C18" s="687"/>
      <c r="D18" s="688" t="s">
        <v>377</v>
      </c>
      <c r="E18" s="689"/>
      <c r="F18" s="690"/>
      <c r="G18" s="687"/>
      <c r="H18" s="688" t="s">
        <v>377</v>
      </c>
      <c r="I18" s="689"/>
      <c r="J18" s="690"/>
      <c r="K18" s="687"/>
      <c r="L18" s="688" t="s">
        <v>377</v>
      </c>
      <c r="M18" s="689"/>
      <c r="N18" s="690"/>
      <c r="O18" s="687"/>
      <c r="P18" s="688" t="s">
        <v>377</v>
      </c>
      <c r="Q18" s="689"/>
      <c r="R18" s="690"/>
      <c r="S18" s="687"/>
      <c r="T18" s="688" t="s">
        <v>377</v>
      </c>
      <c r="U18" s="689"/>
      <c r="V18" s="690"/>
      <c r="W18" s="691">
        <f t="shared" si="1"/>
        <v>0</v>
      </c>
      <c r="X18" s="692"/>
      <c r="Y18" s="687">
        <f t="shared" si="2"/>
        <v>0</v>
      </c>
      <c r="Z18" s="688" t="s">
        <v>377</v>
      </c>
      <c r="AA18" s="693">
        <f t="shared" si="3"/>
        <v>0</v>
      </c>
      <c r="AB18" s="694">
        <f t="shared" si="4"/>
        <v>0</v>
      </c>
      <c r="AC18" s="695"/>
      <c r="AD18" s="676">
        <f t="shared" ca="1" si="5"/>
        <v>258</v>
      </c>
      <c r="AE18" s="829" t="str">
        <f t="shared" si="0"/>
        <v>Elmo lageda</v>
      </c>
      <c r="AF18" s="830">
        <f ca="1">IFERROR(INDEX(Reit!$I:$I,MATCH(AE18,Reit!$F:$F,0)),"")</f>
        <v>258</v>
      </c>
      <c r="AG18" s="652"/>
      <c r="AH18" s="652"/>
    </row>
    <row r="19" spans="1:34" hidden="1" x14ac:dyDescent="0.2">
      <c r="A19" s="685">
        <v>12</v>
      </c>
      <c r="B19" s="696" t="s">
        <v>233</v>
      </c>
      <c r="C19" s="687"/>
      <c r="D19" s="688" t="s">
        <v>377</v>
      </c>
      <c r="E19" s="689"/>
      <c r="F19" s="690"/>
      <c r="G19" s="687"/>
      <c r="H19" s="688" t="s">
        <v>377</v>
      </c>
      <c r="I19" s="689"/>
      <c r="J19" s="690"/>
      <c r="K19" s="687"/>
      <c r="L19" s="688" t="s">
        <v>377</v>
      </c>
      <c r="M19" s="689"/>
      <c r="N19" s="690"/>
      <c r="O19" s="687"/>
      <c r="P19" s="688" t="s">
        <v>377</v>
      </c>
      <c r="Q19" s="689"/>
      <c r="R19" s="690"/>
      <c r="S19" s="687"/>
      <c r="T19" s="688" t="s">
        <v>377</v>
      </c>
      <c r="U19" s="689"/>
      <c r="V19" s="690"/>
      <c r="W19" s="691">
        <f t="shared" si="1"/>
        <v>0</v>
      </c>
      <c r="X19" s="692"/>
      <c r="Y19" s="687">
        <f t="shared" si="2"/>
        <v>0</v>
      </c>
      <c r="Z19" s="688" t="s">
        <v>377</v>
      </c>
      <c r="AA19" s="693">
        <f t="shared" si="3"/>
        <v>0</v>
      </c>
      <c r="AB19" s="694">
        <f t="shared" si="4"/>
        <v>0</v>
      </c>
      <c r="AC19" s="695"/>
      <c r="AD19" s="676">
        <f t="shared" ca="1" si="5"/>
        <v>160</v>
      </c>
      <c r="AE19" s="829" t="str">
        <f t="shared" si="0"/>
        <v>Svetlana Veski</v>
      </c>
      <c r="AF19" s="830">
        <f ca="1">IFERROR(INDEX(Reit!$I:$I,MATCH(AE19,Reit!$F:$F,0)),"")</f>
        <v>160</v>
      </c>
      <c r="AG19" s="652"/>
      <c r="AH19" s="652"/>
    </row>
    <row r="20" spans="1:34" hidden="1" x14ac:dyDescent="0.2">
      <c r="A20" s="685">
        <v>13</v>
      </c>
      <c r="B20" s="686" t="s">
        <v>257</v>
      </c>
      <c r="C20" s="687"/>
      <c r="D20" s="688" t="s">
        <v>377</v>
      </c>
      <c r="E20" s="689"/>
      <c r="F20" s="690"/>
      <c r="G20" s="687"/>
      <c r="H20" s="688" t="s">
        <v>377</v>
      </c>
      <c r="I20" s="689"/>
      <c r="J20" s="690"/>
      <c r="K20" s="687"/>
      <c r="L20" s="688" t="s">
        <v>377</v>
      </c>
      <c r="M20" s="689"/>
      <c r="N20" s="690"/>
      <c r="O20" s="687"/>
      <c r="P20" s="688" t="s">
        <v>377</v>
      </c>
      <c r="Q20" s="689"/>
      <c r="R20" s="690"/>
      <c r="S20" s="687"/>
      <c r="T20" s="688" t="s">
        <v>377</v>
      </c>
      <c r="U20" s="689"/>
      <c r="V20" s="690"/>
      <c r="W20" s="691">
        <f t="shared" si="1"/>
        <v>0</v>
      </c>
      <c r="X20" s="692"/>
      <c r="Y20" s="687">
        <f t="shared" si="2"/>
        <v>0</v>
      </c>
      <c r="Z20" s="688" t="s">
        <v>377</v>
      </c>
      <c r="AA20" s="693">
        <f t="shared" si="3"/>
        <v>0</v>
      </c>
      <c r="AB20" s="694">
        <f t="shared" si="4"/>
        <v>0</v>
      </c>
      <c r="AC20" s="695"/>
      <c r="AD20" s="676">
        <f t="shared" ca="1" si="5"/>
        <v>46</v>
      </c>
      <c r="AE20" s="829" t="str">
        <f t="shared" si="0"/>
        <v>Liidia Põllu</v>
      </c>
      <c r="AF20" s="830">
        <f ca="1">IFERROR(INDEX(Reit!$I:$I,MATCH(AE20,Reit!$F:$F,0)),"")</f>
        <v>46</v>
      </c>
      <c r="AG20" s="652"/>
      <c r="AH20" s="652"/>
    </row>
    <row r="21" spans="1:34" hidden="1" x14ac:dyDescent="0.2">
      <c r="A21" s="685">
        <v>14</v>
      </c>
      <c r="B21" s="696" t="s">
        <v>223</v>
      </c>
      <c r="C21" s="687"/>
      <c r="D21" s="688" t="s">
        <v>377</v>
      </c>
      <c r="E21" s="689"/>
      <c r="F21" s="690"/>
      <c r="G21" s="687"/>
      <c r="H21" s="688" t="s">
        <v>377</v>
      </c>
      <c r="I21" s="689"/>
      <c r="J21" s="690"/>
      <c r="K21" s="687"/>
      <c r="L21" s="688" t="s">
        <v>377</v>
      </c>
      <c r="M21" s="689"/>
      <c r="N21" s="690"/>
      <c r="O21" s="687"/>
      <c r="P21" s="688" t="s">
        <v>377</v>
      </c>
      <c r="Q21" s="689"/>
      <c r="R21" s="690"/>
      <c r="S21" s="687"/>
      <c r="T21" s="688" t="s">
        <v>377</v>
      </c>
      <c r="U21" s="689"/>
      <c r="V21" s="690"/>
      <c r="W21" s="691">
        <f t="shared" si="1"/>
        <v>0</v>
      </c>
      <c r="X21" s="692"/>
      <c r="Y21" s="687">
        <f t="shared" si="2"/>
        <v>0</v>
      </c>
      <c r="Z21" s="688" t="s">
        <v>377</v>
      </c>
      <c r="AA21" s="693">
        <f t="shared" si="3"/>
        <v>0</v>
      </c>
      <c r="AB21" s="694">
        <f t="shared" si="4"/>
        <v>0</v>
      </c>
      <c r="AC21" s="695"/>
      <c r="AD21" s="676">
        <f t="shared" ca="1" si="5"/>
        <v>258</v>
      </c>
      <c r="AE21" s="829" t="str">
        <f t="shared" si="0"/>
        <v>Oleg Rõndenkov</v>
      </c>
      <c r="AF21" s="830">
        <f ca="1">IFERROR(INDEX(Reit!$I:$I,MATCH(AE21,Reit!$F:$F,0)),"")</f>
        <v>258</v>
      </c>
      <c r="AG21" s="652"/>
      <c r="AH21" s="652"/>
    </row>
    <row r="22" spans="1:34" hidden="1" x14ac:dyDescent="0.2">
      <c r="A22" s="685">
        <v>15</v>
      </c>
      <c r="B22" s="696" t="s">
        <v>262</v>
      </c>
      <c r="C22" s="687"/>
      <c r="D22" s="688" t="s">
        <v>377</v>
      </c>
      <c r="E22" s="689"/>
      <c r="F22" s="690"/>
      <c r="G22" s="687"/>
      <c r="H22" s="688" t="s">
        <v>377</v>
      </c>
      <c r="I22" s="689"/>
      <c r="J22" s="690"/>
      <c r="K22" s="687"/>
      <c r="L22" s="688" t="s">
        <v>377</v>
      </c>
      <c r="M22" s="689"/>
      <c r="N22" s="690"/>
      <c r="O22" s="687"/>
      <c r="P22" s="688" t="s">
        <v>377</v>
      </c>
      <c r="Q22" s="689"/>
      <c r="R22" s="690"/>
      <c r="S22" s="687"/>
      <c r="T22" s="688" t="s">
        <v>377</v>
      </c>
      <c r="U22" s="689"/>
      <c r="V22" s="690"/>
      <c r="W22" s="691">
        <f t="shared" si="1"/>
        <v>0</v>
      </c>
      <c r="X22" s="692"/>
      <c r="Y22" s="687">
        <f t="shared" si="2"/>
        <v>0</v>
      </c>
      <c r="Z22" s="688" t="s">
        <v>377</v>
      </c>
      <c r="AA22" s="693">
        <f t="shared" si="3"/>
        <v>0</v>
      </c>
      <c r="AB22" s="694">
        <f t="shared" si="4"/>
        <v>0</v>
      </c>
      <c r="AC22" s="695"/>
      <c r="AD22" s="676">
        <f t="shared" ca="1" si="5"/>
        <v>29</v>
      </c>
      <c r="AE22" s="829" t="str">
        <f t="shared" si="0"/>
        <v>Tarmo Bombe</v>
      </c>
      <c r="AF22" s="830">
        <f ca="1">IFERROR(INDEX(Reit!$I:$I,MATCH(AE22,Reit!$F:$F,0)),"")</f>
        <v>29</v>
      </c>
      <c r="AG22" s="652"/>
      <c r="AH22" s="652"/>
    </row>
    <row r="23" spans="1:34" hidden="1" x14ac:dyDescent="0.2">
      <c r="A23" s="685">
        <v>16</v>
      </c>
      <c r="B23" s="686" t="s">
        <v>232</v>
      </c>
      <c r="C23" s="687"/>
      <c r="D23" s="688" t="s">
        <v>377</v>
      </c>
      <c r="E23" s="689"/>
      <c r="F23" s="690"/>
      <c r="G23" s="687"/>
      <c r="H23" s="688" t="s">
        <v>377</v>
      </c>
      <c r="I23" s="689"/>
      <c r="J23" s="690"/>
      <c r="K23" s="687"/>
      <c r="L23" s="688" t="s">
        <v>377</v>
      </c>
      <c r="M23" s="689"/>
      <c r="N23" s="690"/>
      <c r="O23" s="687"/>
      <c r="P23" s="688" t="s">
        <v>377</v>
      </c>
      <c r="Q23" s="689"/>
      <c r="R23" s="690"/>
      <c r="S23" s="687"/>
      <c r="T23" s="688" t="s">
        <v>377</v>
      </c>
      <c r="U23" s="689"/>
      <c r="V23" s="690"/>
      <c r="W23" s="691">
        <f t="shared" si="1"/>
        <v>0</v>
      </c>
      <c r="X23" s="692"/>
      <c r="Y23" s="687">
        <f t="shared" si="2"/>
        <v>0</v>
      </c>
      <c r="Z23" s="688" t="s">
        <v>377</v>
      </c>
      <c r="AA23" s="693">
        <f t="shared" si="3"/>
        <v>0</v>
      </c>
      <c r="AB23" s="694">
        <f t="shared" si="4"/>
        <v>0</v>
      </c>
      <c r="AC23" s="695"/>
      <c r="AD23" s="676">
        <f t="shared" ca="1" si="5"/>
        <v>168</v>
      </c>
      <c r="AE23" s="829" t="str">
        <f t="shared" si="0"/>
        <v>Andrei Grintšak</v>
      </c>
      <c r="AF23" s="830">
        <f ca="1">IFERROR(INDEX(Reit!$I:$I,MATCH(AE23,Reit!$F:$F,0)),"")</f>
        <v>168</v>
      </c>
      <c r="AG23" s="652"/>
      <c r="AH23" s="652"/>
    </row>
    <row r="24" spans="1:34" hidden="1" x14ac:dyDescent="0.2">
      <c r="A24" s="685">
        <v>17</v>
      </c>
      <c r="B24" s="696" t="s">
        <v>260</v>
      </c>
      <c r="C24" s="687"/>
      <c r="D24" s="688" t="s">
        <v>377</v>
      </c>
      <c r="E24" s="689"/>
      <c r="F24" s="690"/>
      <c r="G24" s="687"/>
      <c r="H24" s="688" t="s">
        <v>377</v>
      </c>
      <c r="I24" s="689"/>
      <c r="J24" s="690"/>
      <c r="K24" s="687"/>
      <c r="L24" s="688" t="s">
        <v>377</v>
      </c>
      <c r="M24" s="689"/>
      <c r="N24" s="690"/>
      <c r="O24" s="687"/>
      <c r="P24" s="688" t="s">
        <v>377</v>
      </c>
      <c r="Q24" s="689"/>
      <c r="R24" s="690"/>
      <c r="S24" s="687"/>
      <c r="T24" s="688" t="s">
        <v>377</v>
      </c>
      <c r="U24" s="689"/>
      <c r="V24" s="690"/>
      <c r="W24" s="691">
        <f t="shared" si="1"/>
        <v>0</v>
      </c>
      <c r="X24" s="692"/>
      <c r="Y24" s="687">
        <f t="shared" si="2"/>
        <v>0</v>
      </c>
      <c r="Z24" s="688" t="s">
        <v>377</v>
      </c>
      <c r="AA24" s="693">
        <f t="shared" si="3"/>
        <v>0</v>
      </c>
      <c r="AB24" s="694">
        <f t="shared" si="4"/>
        <v>0</v>
      </c>
      <c r="AC24" s="695"/>
      <c r="AD24" s="676">
        <f t="shared" ca="1" si="5"/>
        <v>37</v>
      </c>
      <c r="AE24" s="829" t="str">
        <f t="shared" si="0"/>
        <v>Urmas Jõeäär</v>
      </c>
      <c r="AF24" s="830">
        <f ca="1">IFERROR(INDEX(Reit!$I:$I,MATCH(AE24,Reit!$F:$F,0)),"")</f>
        <v>37</v>
      </c>
      <c r="AG24" s="652"/>
      <c r="AH24" s="652"/>
    </row>
    <row r="25" spans="1:34" hidden="1" x14ac:dyDescent="0.2">
      <c r="A25" s="685">
        <v>18</v>
      </c>
      <c r="B25" s="696" t="s">
        <v>270</v>
      </c>
      <c r="C25" s="687"/>
      <c r="D25" s="688" t="s">
        <v>377</v>
      </c>
      <c r="E25" s="689"/>
      <c r="F25" s="690"/>
      <c r="G25" s="687"/>
      <c r="H25" s="688" t="s">
        <v>377</v>
      </c>
      <c r="I25" s="689"/>
      <c r="J25" s="690"/>
      <c r="K25" s="687"/>
      <c r="L25" s="688" t="s">
        <v>377</v>
      </c>
      <c r="M25" s="689"/>
      <c r="N25" s="690"/>
      <c r="O25" s="687"/>
      <c r="P25" s="688" t="s">
        <v>377</v>
      </c>
      <c r="Q25" s="689"/>
      <c r="R25" s="690"/>
      <c r="S25" s="687"/>
      <c r="T25" s="688" t="s">
        <v>377</v>
      </c>
      <c r="U25" s="689"/>
      <c r="V25" s="690"/>
      <c r="W25" s="691">
        <f t="shared" si="1"/>
        <v>0</v>
      </c>
      <c r="X25" s="692"/>
      <c r="Y25" s="687">
        <f t="shared" si="2"/>
        <v>0</v>
      </c>
      <c r="Z25" s="688" t="s">
        <v>377</v>
      </c>
      <c r="AA25" s="693">
        <f t="shared" si="3"/>
        <v>0</v>
      </c>
      <c r="AB25" s="694">
        <f t="shared" si="4"/>
        <v>0</v>
      </c>
      <c r="AC25" s="695"/>
      <c r="AD25" s="676">
        <f t="shared" ca="1" si="5"/>
        <v>11</v>
      </c>
      <c r="AE25" s="829" t="str">
        <f t="shared" si="0"/>
        <v>Vello Vasser</v>
      </c>
      <c r="AF25" s="830">
        <f ca="1">IFERROR(INDEX(Reit!$I:$I,MATCH(AE25,Reit!$F:$F,0)),"")</f>
        <v>11</v>
      </c>
      <c r="AG25" s="652"/>
      <c r="AH25" s="652"/>
    </row>
    <row r="26" spans="1:34" hidden="1" x14ac:dyDescent="0.2">
      <c r="A26" s="685">
        <v>19</v>
      </c>
      <c r="B26" s="686" t="s">
        <v>241</v>
      </c>
      <c r="C26" s="687"/>
      <c r="D26" s="688" t="s">
        <v>377</v>
      </c>
      <c r="E26" s="689"/>
      <c r="F26" s="690"/>
      <c r="G26" s="687"/>
      <c r="H26" s="688" t="s">
        <v>377</v>
      </c>
      <c r="I26" s="689"/>
      <c r="J26" s="690"/>
      <c r="K26" s="687"/>
      <c r="L26" s="688" t="s">
        <v>377</v>
      </c>
      <c r="M26" s="689"/>
      <c r="N26" s="690"/>
      <c r="O26" s="687"/>
      <c r="P26" s="688" t="s">
        <v>377</v>
      </c>
      <c r="Q26" s="689"/>
      <c r="R26" s="690"/>
      <c r="S26" s="687"/>
      <c r="T26" s="688" t="s">
        <v>377</v>
      </c>
      <c r="U26" s="689"/>
      <c r="V26" s="690"/>
      <c r="W26" s="691">
        <f t="shared" si="1"/>
        <v>0</v>
      </c>
      <c r="X26" s="692"/>
      <c r="Y26" s="687">
        <f t="shared" si="2"/>
        <v>0</v>
      </c>
      <c r="Z26" s="688" t="s">
        <v>377</v>
      </c>
      <c r="AA26" s="693">
        <f t="shared" si="3"/>
        <v>0</v>
      </c>
      <c r="AB26" s="694">
        <f t="shared" si="4"/>
        <v>0</v>
      </c>
      <c r="AC26" s="695"/>
      <c r="AD26" s="676">
        <f t="shared" ca="1" si="5"/>
        <v>95</v>
      </c>
      <c r="AE26" s="829" t="str">
        <f t="shared" si="0"/>
        <v>Urmas Randlaine</v>
      </c>
      <c r="AF26" s="830">
        <f ca="1">IFERROR(INDEX(Reit!$I:$I,MATCH(AE26,Reit!$F:$F,0)),"")</f>
        <v>95</v>
      </c>
      <c r="AG26" s="652"/>
      <c r="AH26" s="652"/>
    </row>
    <row r="27" spans="1:34" hidden="1" x14ac:dyDescent="0.2">
      <c r="A27" s="685">
        <v>20</v>
      </c>
      <c r="B27" s="696" t="s">
        <v>252</v>
      </c>
      <c r="C27" s="687"/>
      <c r="D27" s="688" t="s">
        <v>377</v>
      </c>
      <c r="E27" s="689"/>
      <c r="F27" s="690"/>
      <c r="G27" s="687"/>
      <c r="H27" s="688" t="s">
        <v>377</v>
      </c>
      <c r="I27" s="689"/>
      <c r="J27" s="690"/>
      <c r="K27" s="687"/>
      <c r="L27" s="688" t="s">
        <v>377</v>
      </c>
      <c r="M27" s="689"/>
      <c r="N27" s="690"/>
      <c r="O27" s="687"/>
      <c r="P27" s="688" t="s">
        <v>377</v>
      </c>
      <c r="Q27" s="689"/>
      <c r="R27" s="690"/>
      <c r="S27" s="687"/>
      <c r="T27" s="688" t="s">
        <v>377</v>
      </c>
      <c r="U27" s="689"/>
      <c r="V27" s="690"/>
      <c r="W27" s="691">
        <f t="shared" si="1"/>
        <v>0</v>
      </c>
      <c r="X27" s="692"/>
      <c r="Y27" s="687">
        <f t="shared" si="2"/>
        <v>0</v>
      </c>
      <c r="Z27" s="688" t="s">
        <v>377</v>
      </c>
      <c r="AA27" s="693">
        <f t="shared" si="3"/>
        <v>0</v>
      </c>
      <c r="AB27" s="694">
        <f t="shared" si="4"/>
        <v>0</v>
      </c>
      <c r="AC27" s="695"/>
      <c r="AD27" s="676">
        <f t="shared" ca="1" si="5"/>
        <v>55</v>
      </c>
      <c r="AE27" s="829" t="str">
        <f t="shared" si="0"/>
        <v>Lemmit Toomra</v>
      </c>
      <c r="AF27" s="830">
        <f ca="1">IFERROR(INDEX(Reit!$I:$I,MATCH(AE27,Reit!$F:$F,0)),"")</f>
        <v>55</v>
      </c>
      <c r="AG27" s="652"/>
      <c r="AH27" s="652"/>
    </row>
    <row r="28" spans="1:34" hidden="1" x14ac:dyDescent="0.2">
      <c r="A28" s="685">
        <v>21</v>
      </c>
      <c r="B28" s="686" t="s">
        <v>226</v>
      </c>
      <c r="C28" s="687"/>
      <c r="D28" s="688" t="s">
        <v>377</v>
      </c>
      <c r="E28" s="689"/>
      <c r="F28" s="690"/>
      <c r="G28" s="687"/>
      <c r="H28" s="688" t="s">
        <v>377</v>
      </c>
      <c r="I28" s="689"/>
      <c r="J28" s="690"/>
      <c r="K28" s="687"/>
      <c r="L28" s="688" t="s">
        <v>377</v>
      </c>
      <c r="M28" s="689"/>
      <c r="N28" s="690"/>
      <c r="O28" s="687"/>
      <c r="P28" s="688" t="s">
        <v>377</v>
      </c>
      <c r="Q28" s="689"/>
      <c r="R28" s="690"/>
      <c r="S28" s="687"/>
      <c r="T28" s="688" t="s">
        <v>377</v>
      </c>
      <c r="U28" s="689"/>
      <c r="V28" s="690"/>
      <c r="W28" s="691">
        <f>IF(C28&gt;E28,J$3,IF(C28&lt;E28,J$5,IF(ISNUMBER(C28),J$4,0)))+IF(G28&gt;I28,J$3,IF(G28&lt;I28,J$5,IF(ISNUMBER(G28),J$4,0)))+IF(K28&gt;M28,J$3,IF(K28&lt;M28,J$5,IF(ISNUMBER(K28),J$4,0)))+IF(O28&gt;Q28,J$3,IF(O28&lt;Q28,J$5,IF(ISNUMBER(O28),J$4,0)))+IF(S28&gt;U28,J$3,IF(S28&lt;U28,J$5,IF(ISNUMBER(S28),J$4,0)))</f>
        <v>0</v>
      </c>
      <c r="X28" s="692"/>
      <c r="Y28" s="687">
        <f>C28+G28+K28+O28+S28</f>
        <v>0</v>
      </c>
      <c r="Z28" s="688" t="s">
        <v>377</v>
      </c>
      <c r="AA28" s="693">
        <f>E28+I28+M28+Q28+U28</f>
        <v>0</v>
      </c>
      <c r="AB28" s="694">
        <f>Y28-AA28</f>
        <v>0</v>
      </c>
      <c r="AC28" s="695"/>
      <c r="AD28" s="676">
        <f t="shared" ca="1" si="5"/>
        <v>250</v>
      </c>
      <c r="AE28" s="829" t="str">
        <f t="shared" si="0"/>
        <v>Tõnu Piik</v>
      </c>
      <c r="AF28" s="830">
        <f ca="1">IFERROR(INDEX(Reit!$I:$I,MATCH(AE28,Reit!$F:$F,0)),"")</f>
        <v>250</v>
      </c>
      <c r="AG28" s="652"/>
      <c r="AH28" s="652"/>
    </row>
    <row r="29" spans="1:34" hidden="1" x14ac:dyDescent="0.2">
      <c r="A29" s="685">
        <v>22</v>
      </c>
      <c r="B29" s="696" t="s">
        <v>251</v>
      </c>
      <c r="C29" s="687"/>
      <c r="D29" s="688" t="s">
        <v>377</v>
      </c>
      <c r="E29" s="689"/>
      <c r="F29" s="690"/>
      <c r="G29" s="687"/>
      <c r="H29" s="688" t="s">
        <v>377</v>
      </c>
      <c r="I29" s="689"/>
      <c r="J29" s="690"/>
      <c r="K29" s="687"/>
      <c r="L29" s="688" t="s">
        <v>377</v>
      </c>
      <c r="M29" s="689"/>
      <c r="N29" s="690"/>
      <c r="O29" s="687"/>
      <c r="P29" s="688" t="s">
        <v>377</v>
      </c>
      <c r="Q29" s="689"/>
      <c r="R29" s="690"/>
      <c r="S29" s="687"/>
      <c r="T29" s="688" t="s">
        <v>377</v>
      </c>
      <c r="U29" s="689"/>
      <c r="V29" s="690"/>
      <c r="W29" s="691">
        <f>IF(C29&gt;E29,J$3,IF(C29&lt;E29,J$5,IF(ISNUMBER(C29),J$4,0)))+IF(G29&gt;I29,J$3,IF(G29&lt;I29,J$5,IF(ISNUMBER(G29),J$4,0)))+IF(K29&gt;M29,J$3,IF(K29&lt;M29,J$5,IF(ISNUMBER(K29),J$4,0)))+IF(O29&gt;Q29,J$3,IF(O29&lt;Q29,J$5,IF(ISNUMBER(O29),J$4,0)))+IF(S29&gt;U29,J$3,IF(S29&lt;U29,J$5,IF(ISNUMBER(S29),J$4,0)))</f>
        <v>0</v>
      </c>
      <c r="X29" s="692"/>
      <c r="Y29" s="687">
        <f>C29+G29+K29+O29+S29</f>
        <v>0</v>
      </c>
      <c r="Z29" s="688" t="s">
        <v>377</v>
      </c>
      <c r="AA29" s="693">
        <f>E29+I29+M29+Q29+U29</f>
        <v>0</v>
      </c>
      <c r="AB29" s="694">
        <f>Y29-AA29</f>
        <v>0</v>
      </c>
      <c r="AC29" s="695"/>
      <c r="AD29" s="676">
        <f t="shared" ca="1" si="5"/>
        <v>57</v>
      </c>
      <c r="AE29" s="829" t="str">
        <f t="shared" si="0"/>
        <v>Kaspar Mänd</v>
      </c>
      <c r="AF29" s="830">
        <f ca="1">IFERROR(INDEX(Reit!$I:$I,MATCH(AE29,Reit!$F:$F,0)),"")</f>
        <v>57</v>
      </c>
      <c r="AG29" s="652"/>
      <c r="AH29" s="652"/>
    </row>
    <row r="30" spans="1:34" hidden="1" x14ac:dyDescent="0.2">
      <c r="A30" s="685">
        <v>23</v>
      </c>
      <c r="B30" s="686" t="s">
        <v>244</v>
      </c>
      <c r="C30" s="687"/>
      <c r="D30" s="688" t="s">
        <v>377</v>
      </c>
      <c r="E30" s="689"/>
      <c r="F30" s="690"/>
      <c r="G30" s="687"/>
      <c r="H30" s="688" t="s">
        <v>377</v>
      </c>
      <c r="I30" s="689"/>
      <c r="J30" s="690"/>
      <c r="K30" s="687"/>
      <c r="L30" s="688" t="s">
        <v>377</v>
      </c>
      <c r="M30" s="689"/>
      <c r="N30" s="690"/>
      <c r="O30" s="687"/>
      <c r="P30" s="688" t="s">
        <v>377</v>
      </c>
      <c r="Q30" s="689"/>
      <c r="R30" s="690"/>
      <c r="S30" s="687"/>
      <c r="T30" s="688" t="s">
        <v>377</v>
      </c>
      <c r="U30" s="689"/>
      <c r="V30" s="690"/>
      <c r="W30" s="691">
        <f>IF(C30&gt;E30,J$3,IF(C30&lt;E30,J$5,IF(ISNUMBER(C30),J$4,0)))+IF(G30&gt;I30,J$3,IF(G30&lt;I30,J$5,IF(ISNUMBER(G30),J$4,0)))+IF(K30&gt;M30,J$3,IF(K30&lt;M30,J$5,IF(ISNUMBER(K30),J$4,0)))+IF(O30&gt;Q30,J$3,IF(O30&lt;Q30,J$5,IF(ISNUMBER(O30),J$4,0)))+IF(S30&gt;U30,J$3,IF(S30&lt;U30,J$5,IF(ISNUMBER(S30),J$4,0)))</f>
        <v>0</v>
      </c>
      <c r="X30" s="692"/>
      <c r="Y30" s="687">
        <f>C30+G30+K30+O30+S30</f>
        <v>0</v>
      </c>
      <c r="Z30" s="688" t="s">
        <v>377</v>
      </c>
      <c r="AA30" s="693">
        <f>E30+I30+M30+Q30+U30</f>
        <v>0</v>
      </c>
      <c r="AB30" s="694">
        <f>Y30-AA30</f>
        <v>0</v>
      </c>
      <c r="AC30" s="652"/>
      <c r="AD30" s="676">
        <f t="shared" ref="AD30:AD31" ca="1" si="6">SUM(AF30:AF30)</f>
        <v>80</v>
      </c>
      <c r="AE30" s="829" t="str">
        <f t="shared" si="0"/>
        <v>Enn Tokman</v>
      </c>
      <c r="AF30" s="830">
        <f ca="1">IFERROR(INDEX(Reit!$I:$I,MATCH(AE30,Reit!$F:$F,0)),"")</f>
        <v>80</v>
      </c>
      <c r="AG30" s="652"/>
      <c r="AH30" s="652"/>
    </row>
    <row r="31" spans="1:34" hidden="1" x14ac:dyDescent="0.2">
      <c r="A31" s="685">
        <v>24</v>
      </c>
      <c r="B31" s="696" t="s">
        <v>230</v>
      </c>
      <c r="C31" s="687"/>
      <c r="D31" s="688" t="s">
        <v>377</v>
      </c>
      <c r="E31" s="689"/>
      <c r="F31" s="690"/>
      <c r="G31" s="687"/>
      <c r="H31" s="688" t="s">
        <v>377</v>
      </c>
      <c r="I31" s="689"/>
      <c r="J31" s="690"/>
      <c r="K31" s="687"/>
      <c r="L31" s="688" t="s">
        <v>377</v>
      </c>
      <c r="M31" s="689"/>
      <c r="N31" s="690"/>
      <c r="O31" s="687"/>
      <c r="P31" s="688" t="s">
        <v>377</v>
      </c>
      <c r="Q31" s="689"/>
      <c r="R31" s="690"/>
      <c r="S31" s="687"/>
      <c r="T31" s="688" t="s">
        <v>377</v>
      </c>
      <c r="U31" s="689"/>
      <c r="V31" s="690"/>
      <c r="W31" s="691">
        <f>IF(C31&gt;E31,J$3,IF(C31&lt;E31,J$5,IF(ISNUMBER(C31),J$4,0)))+IF(G31&gt;I31,J$3,IF(G31&lt;I31,J$5,IF(ISNUMBER(G31),J$4,0)))+IF(K31&gt;M31,J$3,IF(K31&lt;M31,J$5,IF(ISNUMBER(K31),J$4,0)))+IF(O31&gt;Q31,J$3,IF(O31&lt;Q31,J$5,IF(ISNUMBER(O31),J$4,0)))+IF(S31&gt;U31,J$3,IF(S31&lt;U31,J$5,IF(ISNUMBER(S31),J$4,0)))</f>
        <v>0</v>
      </c>
      <c r="X31" s="692"/>
      <c r="Y31" s="687">
        <f>C31+G31+K31+O31+S31</f>
        <v>0</v>
      </c>
      <c r="Z31" s="688" t="s">
        <v>377</v>
      </c>
      <c r="AA31" s="693">
        <f>E31+I31+M31+Q31+U31</f>
        <v>0</v>
      </c>
      <c r="AB31" s="694">
        <f>Y31-AA31</f>
        <v>0</v>
      </c>
      <c r="AC31" s="652"/>
      <c r="AD31" s="676">
        <f t="shared" ca="1" si="6"/>
        <v>196</v>
      </c>
      <c r="AE31" s="829" t="str">
        <f t="shared" si="0"/>
        <v>Aarne Välja</v>
      </c>
      <c r="AF31" s="830">
        <f ca="1">IFERROR(INDEX(Reit!$I:$I,MATCH(AE31,Reit!$F:$F,0)),"")</f>
        <v>196</v>
      </c>
      <c r="AG31" s="652"/>
      <c r="AH31" s="652"/>
    </row>
    <row r="32" spans="1:34"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row>
    <row r="33" spans="1:34"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row>
    <row r="34" spans="1:34"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row>
    <row r="35" spans="1:34"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row>
    <row r="36" spans="1:34"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row>
    <row r="37" spans="1:34"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row>
    <row r="38" spans="1:34"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row>
    <row r="39" spans="1:34"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row>
    <row r="40" spans="1:34"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row>
    <row r="41" spans="1:34"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row>
    <row r="42" spans="1:34"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row>
    <row r="43" spans="1:34"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row>
    <row r="44" spans="1:34"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row>
    <row r="45" spans="1:34"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row>
    <row r="46" spans="1:34"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row>
    <row r="47" spans="1:34"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row>
    <row r="48" spans="1:34"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row>
    <row r="49" spans="1:34"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row>
    <row r="50" spans="1:34"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row>
    <row r="51" spans="1:34"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row>
    <row r="52" spans="1:34"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row>
    <row r="53" spans="1:34"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row>
    <row r="54" spans="1:34"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row>
    <row r="55" spans="1:34"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row>
    <row r="56" spans="1:34"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row>
    <row r="57" spans="1:34"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row>
    <row r="58" spans="1:34"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row>
    <row r="59" spans="1:34"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row>
    <row r="60" spans="1:34"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row>
    <row r="61" spans="1:34"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row>
    <row r="62" spans="1:34"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row>
    <row r="63" spans="1:34"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row>
    <row r="64" spans="1:34"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row>
    <row r="65" spans="1:34"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row>
    <row r="66" spans="1:34"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row>
    <row r="67" spans="1:34"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row>
    <row r="68" spans="1:34"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row>
    <row r="69" spans="1:34"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row>
    <row r="70" spans="1:34"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row>
    <row r="71" spans="1:34"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row>
    <row r="72" spans="1:34"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row>
    <row r="73" spans="1:34"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row>
    <row r="74" spans="1:34"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row>
    <row r="75" spans="1:34"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row>
    <row r="76" spans="1:34"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row>
    <row r="77" spans="1:34"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row>
    <row r="78" spans="1:34"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row>
    <row r="79" spans="1:34"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row>
    <row r="80" spans="1:34"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row>
    <row r="81" spans="1:34"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row>
    <row r="82" spans="1:34"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row>
    <row r="83" spans="1:34"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row>
    <row r="84" spans="1:34"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row>
    <row r="85" spans="1:34"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row>
    <row r="86" spans="1:34"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row>
    <row r="87" spans="1:34"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row>
    <row r="88" spans="1:34"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row>
    <row r="89" spans="1:34"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row>
    <row r="90" spans="1:34"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row>
    <row r="91" spans="1:34"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row>
    <row r="92" spans="1:34"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row>
    <row r="93" spans="1:34"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row>
    <row r="94" spans="1:34"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row>
    <row r="95" spans="1:34"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row>
    <row r="96" spans="1:34"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row>
    <row r="97" spans="1:34"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row>
    <row r="98" spans="1:34"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row>
    <row r="99" spans="1:34"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row>
    <row r="100" spans="1:34"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row>
    <row r="101" spans="1:34"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row>
    <row r="102" spans="1:34"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row>
    <row r="103" spans="1:34"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row>
    <row r="104" spans="1:34"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row>
    <row r="105" spans="1:34"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row>
    <row r="106" spans="1:34"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row>
    <row r="107" spans="1:34"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row>
    <row r="108" spans="1:34"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row>
    <row r="109" spans="1:34"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row>
    <row r="110" spans="1:34"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row>
    <row r="111" spans="1:34"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row>
    <row r="112" spans="1:34"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row>
    <row r="113" spans="1:34"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row>
    <row r="114" spans="1:34"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row>
    <row r="115" spans="1:34"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row>
    <row r="116" spans="1:34"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row>
    <row r="117" spans="1:34"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row>
    <row r="118" spans="1:34"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row>
    <row r="119" spans="1:34"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row>
    <row r="120" spans="1:34"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row>
    <row r="121" spans="1:34"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row>
    <row r="122" spans="1:34"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row>
    <row r="123" spans="1:34"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row>
    <row r="124" spans="1:34"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row>
    <row r="125" spans="1:34"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row>
    <row r="126" spans="1:34"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row>
    <row r="127" spans="1:34"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row>
    <row r="128" spans="1:34"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row>
    <row r="129" spans="1:34"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row>
    <row r="130" spans="1:34"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row>
    <row r="131" spans="1:34"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row>
    <row r="132" spans="1:34"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row>
    <row r="133" spans="1:34"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c r="AH133" s="652"/>
    </row>
    <row r="134" spans="1:34" hidden="1" x14ac:dyDescent="0.2">
      <c r="A134" s="652"/>
      <c r="B134" s="652"/>
      <c r="C134" s="652"/>
      <c r="D134" s="652"/>
      <c r="E134" s="652"/>
      <c r="F134" s="652"/>
      <c r="G134" s="652"/>
      <c r="H134" s="652"/>
      <c r="I134" s="652"/>
      <c r="J134" s="652"/>
      <c r="K134" s="652"/>
      <c r="L134" s="652"/>
      <c r="M134" s="652"/>
      <c r="N134" s="652"/>
      <c r="O134" s="652"/>
      <c r="P134" s="652"/>
      <c r="Q134" s="652"/>
      <c r="R134" s="652"/>
      <c r="S134" s="652"/>
      <c r="T134" s="652"/>
      <c r="U134" s="652"/>
      <c r="V134" s="652"/>
      <c r="W134" s="652"/>
      <c r="X134" s="652"/>
      <c r="Y134" s="652"/>
      <c r="Z134" s="652"/>
      <c r="AA134" s="652"/>
      <c r="AB134" s="652"/>
      <c r="AC134" s="652"/>
      <c r="AD134" s="652"/>
      <c r="AE134" s="652"/>
      <c r="AF134" s="652"/>
      <c r="AG134" s="652"/>
      <c r="AH134" s="652"/>
    </row>
    <row r="135" spans="1:34" hidden="1" x14ac:dyDescent="0.2">
      <c r="A135" s="652"/>
      <c r="B135" s="652"/>
      <c r="C135" s="652"/>
      <c r="D135" s="652"/>
      <c r="E135" s="652"/>
      <c r="F135" s="652"/>
      <c r="G135" s="652"/>
      <c r="H135" s="652"/>
      <c r="I135" s="652"/>
      <c r="J135" s="652"/>
      <c r="K135" s="652"/>
      <c r="L135" s="652"/>
      <c r="M135" s="652"/>
      <c r="N135" s="652"/>
      <c r="O135" s="652"/>
      <c r="P135" s="652"/>
      <c r="Q135" s="652"/>
      <c r="R135" s="652"/>
      <c r="S135" s="652"/>
      <c r="T135" s="652"/>
      <c r="U135" s="652"/>
      <c r="V135" s="652"/>
      <c r="W135" s="652"/>
      <c r="X135" s="652"/>
      <c r="Y135" s="652"/>
      <c r="Z135" s="652"/>
      <c r="AA135" s="652"/>
      <c r="AB135" s="652"/>
      <c r="AC135" s="652"/>
      <c r="AD135" s="652"/>
      <c r="AE135" s="652"/>
      <c r="AF135" s="652"/>
      <c r="AG135" s="652"/>
      <c r="AH135" s="652"/>
    </row>
    <row r="136" spans="1:34" hidden="1" x14ac:dyDescent="0.2">
      <c r="A136" s="652"/>
      <c r="B136" s="652"/>
      <c r="C136" s="652"/>
      <c r="D136" s="652"/>
      <c r="E136" s="652"/>
      <c r="F136" s="652"/>
      <c r="G136" s="652"/>
      <c r="H136" s="652"/>
      <c r="I136" s="652"/>
      <c r="J136" s="652"/>
      <c r="K136" s="652"/>
      <c r="L136" s="652"/>
      <c r="M136" s="652"/>
      <c r="N136" s="652"/>
      <c r="O136" s="652"/>
      <c r="P136" s="652"/>
      <c r="Q136" s="652"/>
      <c r="R136" s="652"/>
      <c r="S136" s="652"/>
      <c r="T136" s="652"/>
      <c r="U136" s="652"/>
      <c r="V136" s="652"/>
      <c r="W136" s="652"/>
      <c r="X136" s="652"/>
      <c r="Y136" s="652"/>
      <c r="Z136" s="652"/>
      <c r="AA136" s="652"/>
      <c r="AB136" s="652"/>
      <c r="AC136" s="652"/>
      <c r="AD136" s="652"/>
      <c r="AE136" s="652"/>
      <c r="AF136" s="652"/>
      <c r="AG136" s="652"/>
      <c r="AH136" s="652"/>
    </row>
    <row r="137" spans="1:34" hidden="1" x14ac:dyDescent="0.2">
      <c r="A137" s="652"/>
      <c r="B137" s="652"/>
      <c r="C137" s="652"/>
      <c r="D137" s="652"/>
      <c r="E137" s="652"/>
      <c r="F137" s="652"/>
      <c r="G137" s="652"/>
      <c r="H137" s="652"/>
      <c r="I137" s="652"/>
      <c r="J137" s="652"/>
      <c r="K137" s="652"/>
      <c r="L137" s="652"/>
      <c r="M137" s="652"/>
      <c r="N137" s="652"/>
      <c r="O137" s="652"/>
      <c r="P137" s="652"/>
      <c r="Q137" s="652"/>
      <c r="R137" s="652"/>
      <c r="S137" s="652"/>
      <c r="T137" s="652"/>
      <c r="U137" s="652"/>
      <c r="V137" s="652"/>
      <c r="W137" s="652"/>
      <c r="X137" s="652"/>
      <c r="Y137" s="652"/>
      <c r="Z137" s="652"/>
      <c r="AA137" s="652"/>
      <c r="AB137" s="652"/>
      <c r="AC137" s="652"/>
      <c r="AD137" s="652"/>
      <c r="AE137" s="652"/>
      <c r="AF137" s="652"/>
      <c r="AG137" s="652"/>
      <c r="AH137" s="652"/>
    </row>
    <row r="138" spans="1:34" hidden="1" x14ac:dyDescent="0.2">
      <c r="A138" s="652"/>
      <c r="B138" s="652"/>
      <c r="C138" s="652"/>
      <c r="D138" s="652"/>
      <c r="E138" s="652"/>
      <c r="F138" s="652"/>
      <c r="G138" s="652"/>
      <c r="H138" s="652"/>
      <c r="I138" s="652"/>
      <c r="J138" s="652"/>
      <c r="K138" s="652"/>
      <c r="L138" s="652"/>
      <c r="M138" s="652"/>
      <c r="N138" s="652"/>
      <c r="O138" s="652"/>
      <c r="P138" s="652"/>
      <c r="Q138" s="652"/>
      <c r="R138" s="652"/>
      <c r="S138" s="652"/>
      <c r="T138" s="652"/>
      <c r="U138" s="652"/>
      <c r="V138" s="652"/>
      <c r="W138" s="652"/>
      <c r="X138" s="652"/>
      <c r="Y138" s="652"/>
      <c r="Z138" s="652"/>
      <c r="AA138" s="652"/>
      <c r="AB138" s="652"/>
      <c r="AC138" s="652"/>
      <c r="AD138" s="652"/>
      <c r="AE138" s="652"/>
      <c r="AF138" s="652"/>
      <c r="AG138" s="652"/>
      <c r="AH138" s="652"/>
    </row>
    <row r="139" spans="1:34" hidden="1" x14ac:dyDescent="0.2">
      <c r="A139" s="652"/>
      <c r="B139" s="652"/>
      <c r="C139" s="652"/>
      <c r="D139" s="652"/>
      <c r="E139" s="652"/>
      <c r="F139" s="652"/>
      <c r="G139" s="652"/>
      <c r="H139" s="652"/>
      <c r="I139" s="652"/>
      <c r="J139" s="652"/>
      <c r="K139" s="652"/>
      <c r="L139" s="652"/>
      <c r="M139" s="652"/>
      <c r="N139" s="652"/>
      <c r="O139" s="652"/>
      <c r="P139" s="652"/>
      <c r="Q139" s="652"/>
      <c r="R139" s="652"/>
      <c r="S139" s="652"/>
      <c r="T139" s="652"/>
      <c r="U139" s="652"/>
      <c r="V139" s="652"/>
      <c r="W139" s="652"/>
      <c r="X139" s="652"/>
      <c r="Y139" s="652"/>
      <c r="Z139" s="652"/>
      <c r="AA139" s="652"/>
      <c r="AB139" s="652"/>
      <c r="AC139" s="652"/>
      <c r="AD139" s="652"/>
      <c r="AE139" s="652"/>
      <c r="AF139" s="652"/>
      <c r="AG139" s="652"/>
      <c r="AH139" s="652"/>
    </row>
    <row r="140" spans="1:34" hidden="1" x14ac:dyDescent="0.2">
      <c r="A140" s="652"/>
      <c r="B140" s="652"/>
      <c r="C140" s="652"/>
      <c r="D140" s="652"/>
      <c r="E140" s="652"/>
      <c r="F140" s="652"/>
      <c r="G140" s="652"/>
      <c r="H140" s="652"/>
      <c r="I140" s="652"/>
      <c r="J140" s="652"/>
      <c r="K140" s="652"/>
      <c r="L140" s="652"/>
      <c r="M140" s="652"/>
      <c r="N140" s="652"/>
      <c r="O140" s="652"/>
      <c r="P140" s="652"/>
      <c r="Q140" s="652"/>
      <c r="R140" s="652"/>
      <c r="S140" s="652"/>
      <c r="T140" s="652"/>
      <c r="U140" s="652"/>
      <c r="V140" s="652"/>
      <c r="W140" s="652"/>
      <c r="X140" s="652"/>
      <c r="Y140" s="652"/>
      <c r="Z140" s="652"/>
      <c r="AA140" s="652"/>
      <c r="AB140" s="652"/>
      <c r="AC140" s="652"/>
      <c r="AD140" s="652"/>
      <c r="AE140" s="652"/>
      <c r="AF140" s="652"/>
      <c r="AG140" s="652"/>
      <c r="AH140" s="652"/>
    </row>
    <row r="141" spans="1:34" hidden="1" x14ac:dyDescent="0.2">
      <c r="A141" s="652"/>
      <c r="B141" s="652"/>
      <c r="C141" s="652"/>
      <c r="D141" s="652"/>
      <c r="E141" s="652"/>
      <c r="F141" s="652"/>
      <c r="G141" s="652"/>
      <c r="H141" s="652"/>
      <c r="I141" s="652"/>
      <c r="J141" s="652"/>
      <c r="K141" s="652"/>
      <c r="L141" s="652"/>
      <c r="M141" s="652"/>
      <c r="N141" s="652"/>
      <c r="O141" s="652"/>
      <c r="P141" s="652"/>
      <c r="Q141" s="652"/>
      <c r="R141" s="652"/>
      <c r="S141" s="652"/>
      <c r="T141" s="652"/>
      <c r="U141" s="652"/>
      <c r="V141" s="652"/>
      <c r="W141" s="652"/>
      <c r="X141" s="652"/>
      <c r="Y141" s="652"/>
      <c r="Z141" s="652"/>
      <c r="AA141" s="652"/>
      <c r="AB141" s="652"/>
      <c r="AC141" s="652"/>
      <c r="AD141" s="652"/>
      <c r="AE141" s="652"/>
      <c r="AF141" s="652"/>
      <c r="AG141" s="652"/>
      <c r="AH141" s="652"/>
    </row>
    <row r="142" spans="1:34" hidden="1" x14ac:dyDescent="0.2">
      <c r="A142" s="652"/>
      <c r="B142" s="652"/>
      <c r="C142" s="652"/>
      <c r="D142" s="652"/>
      <c r="E142" s="652"/>
      <c r="F142" s="652"/>
      <c r="G142" s="652"/>
      <c r="H142" s="652"/>
      <c r="I142" s="652"/>
      <c r="J142" s="652"/>
      <c r="K142" s="652"/>
      <c r="L142" s="652"/>
      <c r="M142" s="652"/>
      <c r="N142" s="652"/>
      <c r="O142" s="652"/>
      <c r="P142" s="652"/>
      <c r="Q142" s="652"/>
      <c r="R142" s="652"/>
      <c r="S142" s="652"/>
      <c r="T142" s="652"/>
      <c r="U142" s="652"/>
      <c r="V142" s="652"/>
      <c r="W142" s="652"/>
      <c r="X142" s="652"/>
      <c r="Y142" s="652"/>
      <c r="Z142" s="652"/>
      <c r="AA142" s="652"/>
      <c r="AB142" s="652"/>
      <c r="AC142" s="652"/>
      <c r="AD142" s="652"/>
      <c r="AE142" s="652"/>
      <c r="AF142" s="652"/>
      <c r="AG142" s="652"/>
      <c r="AH142" s="652"/>
    </row>
    <row r="143" spans="1:34" hidden="1" x14ac:dyDescent="0.2">
      <c r="A143" s="652"/>
      <c r="B143" s="652"/>
      <c r="C143" s="652"/>
      <c r="D143" s="652"/>
      <c r="E143" s="652"/>
      <c r="F143" s="652"/>
      <c r="G143" s="652"/>
      <c r="H143" s="652"/>
      <c r="I143" s="652"/>
      <c r="J143" s="652"/>
      <c r="K143" s="652"/>
      <c r="L143" s="652"/>
      <c r="M143" s="652"/>
      <c r="N143" s="652"/>
      <c r="O143" s="652"/>
      <c r="P143" s="652"/>
      <c r="Q143" s="652"/>
      <c r="R143" s="652"/>
      <c r="S143" s="652"/>
      <c r="T143" s="652"/>
      <c r="U143" s="652"/>
      <c r="V143" s="652"/>
      <c r="W143" s="652"/>
      <c r="X143" s="652"/>
      <c r="Y143" s="652"/>
      <c r="Z143" s="652"/>
      <c r="AA143" s="652"/>
      <c r="AB143" s="652"/>
      <c r="AC143" s="652"/>
      <c r="AD143" s="652"/>
      <c r="AE143" s="652"/>
      <c r="AF143" s="652"/>
      <c r="AG143" s="652"/>
      <c r="AH143" s="652"/>
    </row>
    <row r="144" spans="1:34" hidden="1" x14ac:dyDescent="0.2">
      <c r="A144" s="652"/>
      <c r="B144" s="652"/>
      <c r="C144" s="652"/>
      <c r="D144" s="652"/>
      <c r="E144" s="652"/>
      <c r="F144" s="652"/>
      <c r="G144" s="652"/>
      <c r="H144" s="652"/>
      <c r="I144" s="652"/>
      <c r="J144" s="652"/>
      <c r="K144" s="652"/>
      <c r="L144" s="652"/>
      <c r="M144" s="652"/>
      <c r="N144" s="652"/>
      <c r="O144" s="652"/>
      <c r="P144" s="652"/>
      <c r="Q144" s="652"/>
      <c r="R144" s="652"/>
      <c r="S144" s="652"/>
      <c r="T144" s="652"/>
      <c r="U144" s="652"/>
      <c r="V144" s="652"/>
      <c r="W144" s="652"/>
      <c r="X144" s="652"/>
      <c r="Y144" s="652"/>
      <c r="Z144" s="652"/>
      <c r="AA144" s="652"/>
      <c r="AB144" s="652"/>
      <c r="AC144" s="652"/>
      <c r="AD144" s="652"/>
      <c r="AE144" s="652"/>
      <c r="AF144" s="652"/>
      <c r="AG144" s="652"/>
      <c r="AH144" s="652"/>
    </row>
    <row r="145" spans="1:34" hidden="1" x14ac:dyDescent="0.2">
      <c r="A145" s="652"/>
      <c r="B145" s="652"/>
      <c r="C145" s="652"/>
      <c r="D145" s="652"/>
      <c r="E145" s="652"/>
      <c r="F145" s="652"/>
      <c r="G145" s="652"/>
      <c r="H145" s="652"/>
      <c r="I145" s="652"/>
      <c r="J145" s="652"/>
      <c r="K145" s="652"/>
      <c r="L145" s="652"/>
      <c r="M145" s="652"/>
      <c r="N145" s="652"/>
      <c r="O145" s="652"/>
      <c r="P145" s="652"/>
      <c r="Q145" s="652"/>
      <c r="R145" s="652"/>
      <c r="S145" s="652"/>
      <c r="T145" s="652"/>
      <c r="U145" s="652"/>
      <c r="V145" s="652"/>
      <c r="W145" s="652"/>
      <c r="X145" s="652"/>
      <c r="Y145" s="652"/>
      <c r="Z145" s="652"/>
      <c r="AA145" s="652"/>
      <c r="AB145" s="652"/>
      <c r="AC145" s="652"/>
      <c r="AD145" s="652"/>
      <c r="AE145" s="652"/>
      <c r="AF145" s="652"/>
      <c r="AG145" s="652"/>
      <c r="AH145" s="652"/>
    </row>
    <row r="146" spans="1:34" hidden="1" x14ac:dyDescent="0.2">
      <c r="A146" s="652"/>
      <c r="B146" s="652"/>
      <c r="C146" s="652"/>
      <c r="D146" s="652"/>
      <c r="E146" s="652"/>
      <c r="F146" s="652"/>
      <c r="G146" s="652"/>
      <c r="H146" s="652"/>
      <c r="I146" s="652"/>
      <c r="J146" s="652"/>
      <c r="K146" s="652"/>
      <c r="L146" s="652"/>
      <c r="M146" s="652"/>
      <c r="N146" s="652"/>
      <c r="O146" s="652"/>
      <c r="P146" s="652"/>
      <c r="Q146" s="652"/>
      <c r="R146" s="652"/>
      <c r="S146" s="652"/>
      <c r="T146" s="652"/>
      <c r="U146" s="652"/>
      <c r="V146" s="652"/>
      <c r="W146" s="652"/>
      <c r="X146" s="652"/>
      <c r="Y146" s="652"/>
      <c r="Z146" s="652"/>
      <c r="AA146" s="652"/>
      <c r="AB146" s="652"/>
      <c r="AC146" s="652"/>
      <c r="AD146" s="652"/>
      <c r="AE146" s="652"/>
      <c r="AF146" s="652"/>
      <c r="AG146" s="652"/>
      <c r="AH146" s="652"/>
    </row>
    <row r="147" spans="1:34"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row>
    <row r="148" spans="1:34"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row>
    <row r="149" spans="1:34"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c r="AH149" s="652"/>
    </row>
    <row r="150" spans="1:34" hidden="1" x14ac:dyDescent="0.2">
      <c r="A150" s="652"/>
      <c r="B150" s="652"/>
      <c r="C150" s="652"/>
      <c r="D150" s="652"/>
      <c r="E150" s="652"/>
      <c r="F150" s="652"/>
      <c r="G150" s="652"/>
      <c r="H150" s="652"/>
      <c r="I150" s="652"/>
      <c r="J150" s="652"/>
      <c r="K150" s="652"/>
      <c r="L150" s="657"/>
      <c r="M150" s="657"/>
      <c r="N150" s="657"/>
      <c r="O150" s="652"/>
      <c r="P150" s="652"/>
      <c r="Q150" s="652"/>
      <c r="R150" s="652"/>
      <c r="S150" s="652"/>
      <c r="T150" s="657"/>
      <c r="U150" s="657"/>
      <c r="V150" s="657"/>
      <c r="W150" s="652"/>
      <c r="X150" s="652"/>
      <c r="Y150" s="652"/>
      <c r="Z150" s="652"/>
      <c r="AA150" s="652"/>
      <c r="AB150" s="652"/>
      <c r="AC150" s="652"/>
      <c r="AD150" s="652"/>
      <c r="AE150" s="652"/>
      <c r="AF150" s="652"/>
      <c r="AG150" s="652"/>
      <c r="AH150" s="652"/>
    </row>
    <row r="151" spans="1:34" hidden="1" x14ac:dyDescent="0.2">
      <c r="A151" s="652"/>
      <c r="B151" s="652"/>
      <c r="C151" s="652"/>
      <c r="D151" s="652"/>
      <c r="E151" s="652"/>
      <c r="F151" s="652"/>
      <c r="G151" s="652"/>
      <c r="H151" s="652"/>
      <c r="I151" s="652"/>
      <c r="J151" s="652"/>
      <c r="K151" s="652"/>
      <c r="L151" s="657"/>
      <c r="M151" s="657"/>
      <c r="N151" s="657"/>
      <c r="O151" s="652"/>
      <c r="P151" s="652"/>
      <c r="Q151" s="652"/>
      <c r="R151" s="652"/>
      <c r="S151" s="652"/>
      <c r="T151" s="657"/>
      <c r="U151" s="657"/>
      <c r="V151" s="657"/>
      <c r="W151" s="652"/>
      <c r="X151" s="652"/>
      <c r="Y151" s="652"/>
      <c r="Z151" s="652"/>
      <c r="AA151" s="652"/>
      <c r="AB151" s="652"/>
      <c r="AC151" s="652"/>
      <c r="AD151" s="652"/>
      <c r="AE151" s="652"/>
      <c r="AF151" s="652"/>
      <c r="AG151" s="652"/>
      <c r="AH151" s="652"/>
    </row>
    <row r="152" spans="1:34" hidden="1" x14ac:dyDescent="0.2">
      <c r="A152" s="652"/>
      <c r="B152" s="652"/>
      <c r="C152" s="652"/>
      <c r="D152" s="652"/>
      <c r="E152" s="652"/>
      <c r="F152" s="652"/>
      <c r="G152" s="652"/>
      <c r="H152" s="652"/>
      <c r="I152" s="652"/>
      <c r="J152" s="652"/>
      <c r="K152" s="652"/>
      <c r="L152" s="657"/>
      <c r="M152" s="657"/>
      <c r="N152" s="657"/>
      <c r="O152" s="652"/>
      <c r="P152" s="652"/>
      <c r="Q152" s="652"/>
      <c r="R152" s="652"/>
      <c r="S152" s="652"/>
      <c r="T152" s="657"/>
      <c r="U152" s="657"/>
      <c r="V152" s="657"/>
      <c r="W152" s="652"/>
      <c r="X152" s="652"/>
      <c r="Y152" s="652"/>
      <c r="Z152" s="652"/>
      <c r="AA152" s="652"/>
      <c r="AB152" s="652"/>
      <c r="AC152" s="652"/>
      <c r="AD152" s="652"/>
      <c r="AE152" s="652"/>
      <c r="AF152" s="652"/>
      <c r="AG152" s="652"/>
      <c r="AH152" s="652"/>
    </row>
    <row r="153" spans="1:34" hidden="1" x14ac:dyDescent="0.2">
      <c r="A153" s="652"/>
      <c r="B153" s="652"/>
      <c r="C153" s="652"/>
      <c r="D153" s="652"/>
      <c r="E153" s="652"/>
      <c r="F153" s="652"/>
      <c r="G153" s="652"/>
      <c r="H153" s="652"/>
      <c r="I153" s="652"/>
      <c r="J153" s="652"/>
      <c r="K153" s="652"/>
      <c r="L153" s="657"/>
      <c r="M153" s="657"/>
      <c r="N153" s="657"/>
      <c r="O153" s="652"/>
      <c r="P153" s="652"/>
      <c r="Q153" s="652"/>
      <c r="R153" s="652"/>
      <c r="S153" s="652"/>
      <c r="T153" s="657"/>
      <c r="U153" s="657"/>
      <c r="V153" s="657"/>
      <c r="W153" s="652"/>
      <c r="X153" s="652"/>
      <c r="Y153" s="652"/>
      <c r="Z153" s="652"/>
      <c r="AA153" s="652"/>
      <c r="AB153" s="652"/>
      <c r="AC153" s="652"/>
      <c r="AD153" s="652"/>
      <c r="AE153" s="652"/>
      <c r="AF153" s="652"/>
      <c r="AG153" s="652"/>
      <c r="AH153" s="652"/>
    </row>
    <row r="154" spans="1:34" hidden="1" x14ac:dyDescent="0.2">
      <c r="A154" s="652"/>
      <c r="B154" s="652"/>
      <c r="C154" s="652"/>
      <c r="D154" s="652"/>
      <c r="E154" s="652"/>
      <c r="F154" s="652"/>
      <c r="G154" s="652"/>
      <c r="H154" s="652"/>
      <c r="I154" s="652"/>
      <c r="J154" s="652"/>
      <c r="K154" s="652"/>
      <c r="L154" s="657"/>
      <c r="M154" s="657"/>
      <c r="N154" s="657"/>
      <c r="O154" s="652"/>
      <c r="P154" s="652"/>
      <c r="Q154" s="652"/>
      <c r="R154" s="652"/>
      <c r="S154" s="652"/>
      <c r="T154" s="657"/>
      <c r="U154" s="657"/>
      <c r="V154" s="657"/>
      <c r="W154" s="652"/>
      <c r="X154" s="652"/>
      <c r="Y154" s="652"/>
      <c r="Z154" s="652"/>
      <c r="AA154" s="652"/>
      <c r="AB154" s="652"/>
      <c r="AC154" s="652"/>
      <c r="AD154" s="652"/>
      <c r="AE154" s="652"/>
      <c r="AF154" s="652"/>
      <c r="AG154" s="652"/>
      <c r="AH154" s="652"/>
    </row>
    <row r="155" spans="1:34" hidden="1" x14ac:dyDescent="0.2">
      <c r="A155" s="652"/>
      <c r="B155" s="652"/>
      <c r="C155" s="652"/>
      <c r="D155" s="652"/>
      <c r="E155" s="652"/>
      <c r="F155" s="652"/>
      <c r="G155" s="652"/>
      <c r="H155" s="652"/>
      <c r="I155" s="652"/>
      <c r="J155" s="652"/>
      <c r="K155" s="652"/>
      <c r="L155" s="657"/>
      <c r="M155" s="657"/>
      <c r="N155" s="657"/>
      <c r="O155" s="652"/>
      <c r="P155" s="652"/>
      <c r="Q155" s="652"/>
      <c r="R155" s="652"/>
      <c r="S155" s="652"/>
      <c r="T155" s="657"/>
      <c r="U155" s="657"/>
      <c r="V155" s="657"/>
      <c r="W155" s="652"/>
      <c r="X155" s="652"/>
      <c r="Y155" s="652"/>
      <c r="Z155" s="652"/>
      <c r="AA155" s="652"/>
      <c r="AB155" s="652"/>
      <c r="AC155" s="652"/>
      <c r="AD155" s="652"/>
      <c r="AE155" s="652"/>
      <c r="AF155" s="652"/>
      <c r="AG155" s="652"/>
      <c r="AH155" s="652"/>
    </row>
    <row r="156" spans="1:34" hidden="1" x14ac:dyDescent="0.2">
      <c r="A156" s="652"/>
      <c r="B156" s="652"/>
      <c r="C156" s="652"/>
      <c r="D156" s="652"/>
      <c r="E156" s="652"/>
      <c r="F156" s="652"/>
      <c r="G156" s="652"/>
      <c r="H156" s="652"/>
      <c r="I156" s="652"/>
      <c r="J156" s="652"/>
      <c r="K156" s="652"/>
      <c r="L156" s="657"/>
      <c r="M156" s="657"/>
      <c r="N156" s="657"/>
      <c r="O156" s="652"/>
      <c r="P156" s="652"/>
      <c r="Q156" s="652"/>
      <c r="R156" s="652"/>
      <c r="S156" s="652"/>
      <c r="T156" s="657"/>
      <c r="U156" s="657"/>
      <c r="V156" s="657"/>
      <c r="W156" s="652"/>
      <c r="X156" s="652"/>
      <c r="Y156" s="652"/>
      <c r="Z156" s="652"/>
      <c r="AA156" s="652"/>
      <c r="AB156" s="652"/>
      <c r="AC156" s="652"/>
      <c r="AD156" s="652"/>
      <c r="AE156" s="652"/>
      <c r="AF156" s="652"/>
      <c r="AG156" s="652"/>
      <c r="AH156" s="652"/>
    </row>
    <row r="157" spans="1:34" hidden="1" x14ac:dyDescent="0.2">
      <c r="A157" s="652"/>
      <c r="B157" s="652"/>
      <c r="C157" s="652"/>
      <c r="D157" s="652"/>
      <c r="E157" s="652"/>
      <c r="F157" s="652"/>
      <c r="G157" s="652"/>
      <c r="H157" s="652"/>
      <c r="I157" s="652"/>
      <c r="J157" s="652"/>
      <c r="K157" s="652"/>
      <c r="L157" s="657"/>
      <c r="M157" s="657"/>
      <c r="N157" s="657"/>
      <c r="O157" s="652"/>
      <c r="P157" s="652"/>
      <c r="Q157" s="652"/>
      <c r="R157" s="652"/>
      <c r="S157" s="652"/>
      <c r="T157" s="657"/>
      <c r="U157" s="657"/>
      <c r="V157" s="657"/>
      <c r="W157" s="652"/>
      <c r="X157" s="652"/>
      <c r="Y157" s="652"/>
      <c r="Z157" s="652"/>
      <c r="AA157" s="652"/>
      <c r="AB157" s="652"/>
      <c r="AC157" s="652"/>
      <c r="AD157" s="652"/>
      <c r="AE157" s="652"/>
      <c r="AF157" s="652"/>
      <c r="AG157" s="652"/>
      <c r="AH157" s="652"/>
    </row>
    <row r="158" spans="1:34" hidden="1" x14ac:dyDescent="0.2">
      <c r="A158" s="652"/>
      <c r="B158" s="652"/>
      <c r="C158" s="652"/>
      <c r="D158" s="652"/>
      <c r="E158" s="652"/>
      <c r="F158" s="652"/>
      <c r="G158" s="652"/>
      <c r="H158" s="652"/>
      <c r="I158" s="652"/>
      <c r="J158" s="652"/>
      <c r="K158" s="652"/>
      <c r="L158" s="657"/>
      <c r="M158" s="657"/>
      <c r="N158" s="657"/>
      <c r="O158" s="652"/>
      <c r="P158" s="652"/>
      <c r="Q158" s="652"/>
      <c r="R158" s="652"/>
      <c r="S158" s="652"/>
      <c r="T158" s="657"/>
      <c r="U158" s="657"/>
      <c r="V158" s="657"/>
      <c r="W158" s="652"/>
      <c r="X158" s="652"/>
      <c r="Y158" s="652"/>
      <c r="Z158" s="652"/>
      <c r="AA158" s="652"/>
      <c r="AB158" s="652"/>
      <c r="AC158" s="652"/>
      <c r="AD158" s="652"/>
      <c r="AE158" s="652"/>
      <c r="AF158" s="652"/>
      <c r="AG158" s="652"/>
      <c r="AH158" s="652"/>
    </row>
    <row r="159" spans="1:34" hidden="1" x14ac:dyDescent="0.2">
      <c r="A159" s="652"/>
      <c r="B159" s="652"/>
      <c r="C159" s="652"/>
      <c r="D159" s="652"/>
      <c r="E159" s="652"/>
      <c r="F159" s="652"/>
      <c r="G159" s="652"/>
      <c r="H159" s="652"/>
      <c r="I159" s="652"/>
      <c r="J159" s="652"/>
      <c r="K159" s="652"/>
      <c r="L159" s="657"/>
      <c r="M159" s="657"/>
      <c r="N159" s="657"/>
      <c r="O159" s="652"/>
      <c r="P159" s="652"/>
      <c r="Q159" s="652"/>
      <c r="R159" s="652"/>
      <c r="S159" s="652"/>
      <c r="T159" s="657"/>
      <c r="U159" s="657"/>
      <c r="V159" s="657"/>
      <c r="W159" s="652"/>
      <c r="X159" s="652"/>
      <c r="Y159" s="652"/>
      <c r="Z159" s="652"/>
      <c r="AA159" s="652"/>
      <c r="AB159" s="652"/>
      <c r="AC159" s="652"/>
      <c r="AD159" s="652"/>
      <c r="AE159" s="652"/>
      <c r="AF159" s="652"/>
      <c r="AG159" s="652"/>
      <c r="AH159" s="652"/>
    </row>
    <row r="160" spans="1:34" hidden="1" x14ac:dyDescent="0.2">
      <c r="A160" s="652"/>
      <c r="B160" s="652"/>
      <c r="C160" s="652"/>
      <c r="D160" s="652"/>
      <c r="E160" s="652"/>
      <c r="F160" s="652"/>
      <c r="G160" s="652"/>
      <c r="H160" s="652"/>
      <c r="I160" s="652"/>
      <c r="J160" s="652"/>
      <c r="K160" s="652"/>
      <c r="L160" s="657"/>
      <c r="M160" s="657"/>
      <c r="N160" s="657"/>
      <c r="O160" s="652"/>
      <c r="P160" s="652"/>
      <c r="Q160" s="652"/>
      <c r="R160" s="652"/>
      <c r="S160" s="652"/>
      <c r="T160" s="657"/>
      <c r="U160" s="657"/>
      <c r="V160" s="657"/>
      <c r="W160" s="652"/>
      <c r="X160" s="652"/>
      <c r="Y160" s="652"/>
      <c r="Z160" s="652"/>
      <c r="AA160" s="652"/>
      <c r="AB160" s="652"/>
      <c r="AC160" s="652"/>
      <c r="AD160" s="652"/>
      <c r="AE160" s="652"/>
      <c r="AF160" s="652"/>
      <c r="AG160" s="652"/>
      <c r="AH160" s="652"/>
    </row>
    <row r="161" spans="1:34" hidden="1" x14ac:dyDescent="0.2">
      <c r="A161" s="652"/>
      <c r="B161" s="652"/>
      <c r="C161" s="652"/>
      <c r="D161" s="652"/>
      <c r="E161" s="652"/>
      <c r="F161" s="652"/>
      <c r="G161" s="652"/>
      <c r="H161" s="652"/>
      <c r="I161" s="652"/>
      <c r="J161" s="652"/>
      <c r="K161" s="652"/>
      <c r="L161" s="657"/>
      <c r="M161" s="657"/>
      <c r="N161" s="657"/>
      <c r="O161" s="652"/>
      <c r="P161" s="652"/>
      <c r="Q161" s="652"/>
      <c r="R161" s="652"/>
      <c r="S161" s="652"/>
      <c r="T161" s="657"/>
      <c r="U161" s="657"/>
      <c r="V161" s="657"/>
      <c r="W161" s="652"/>
      <c r="X161" s="652"/>
      <c r="Y161" s="652"/>
      <c r="Z161" s="652"/>
      <c r="AA161" s="652"/>
      <c r="AB161" s="652"/>
      <c r="AC161" s="652"/>
      <c r="AD161" s="652"/>
      <c r="AE161" s="652"/>
      <c r="AF161" s="652"/>
      <c r="AG161" s="652"/>
      <c r="AH161" s="652"/>
    </row>
    <row r="162" spans="1:34" hidden="1" x14ac:dyDescent="0.2">
      <c r="A162" s="652"/>
      <c r="B162" s="652"/>
      <c r="C162" s="652"/>
      <c r="D162" s="652"/>
      <c r="E162" s="652"/>
      <c r="F162" s="652"/>
      <c r="G162" s="652"/>
      <c r="H162" s="652"/>
      <c r="I162" s="652"/>
      <c r="J162" s="652"/>
      <c r="K162" s="652"/>
      <c r="L162" s="657"/>
      <c r="M162" s="657"/>
      <c r="N162" s="657"/>
      <c r="O162" s="652"/>
      <c r="P162" s="652"/>
      <c r="Q162" s="652"/>
      <c r="R162" s="652"/>
      <c r="S162" s="652"/>
      <c r="T162" s="657"/>
      <c r="U162" s="657"/>
      <c r="V162" s="657"/>
      <c r="W162" s="652"/>
      <c r="X162" s="652"/>
      <c r="Y162" s="652"/>
      <c r="Z162" s="652"/>
      <c r="AA162" s="652"/>
      <c r="AB162" s="652"/>
      <c r="AC162" s="652"/>
      <c r="AD162" s="652"/>
      <c r="AE162" s="652"/>
      <c r="AF162" s="652"/>
      <c r="AG162" s="652"/>
      <c r="AH162" s="652"/>
    </row>
    <row r="163" spans="1:34" hidden="1" x14ac:dyDescent="0.2">
      <c r="A163" s="652"/>
      <c r="B163" s="652"/>
      <c r="C163" s="652"/>
      <c r="D163" s="652"/>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52"/>
      <c r="AE163" s="652"/>
      <c r="AF163" s="652"/>
      <c r="AG163" s="652"/>
      <c r="AH163" s="652"/>
    </row>
    <row r="164" spans="1:34" hidden="1" x14ac:dyDescent="0.2">
      <c r="A164" s="652"/>
      <c r="B164" s="652"/>
      <c r="C164" s="652"/>
      <c r="D164" s="652"/>
      <c r="E164" s="652"/>
      <c r="F164" s="652"/>
      <c r="G164" s="652"/>
      <c r="H164" s="652"/>
      <c r="I164" s="652"/>
      <c r="J164" s="652"/>
      <c r="K164" s="652"/>
      <c r="L164" s="652"/>
      <c r="M164" s="652"/>
      <c r="N164" s="652"/>
      <c r="O164" s="652"/>
      <c r="P164" s="652"/>
      <c r="Q164" s="652"/>
      <c r="R164" s="652"/>
      <c r="S164" s="652"/>
      <c r="T164" s="652"/>
      <c r="U164" s="652"/>
      <c r="V164" s="652"/>
      <c r="W164" s="652"/>
      <c r="X164" s="652"/>
      <c r="Y164" s="652"/>
      <c r="Z164" s="652"/>
      <c r="AA164" s="652"/>
      <c r="AB164" s="652"/>
      <c r="AC164" s="652"/>
      <c r="AD164" s="652"/>
      <c r="AE164" s="652"/>
      <c r="AF164" s="652"/>
      <c r="AG164" s="652"/>
      <c r="AH164" s="652"/>
    </row>
    <row r="165" spans="1:34" hidden="1" x14ac:dyDescent="0.2">
      <c r="A165" s="652"/>
      <c r="B165" s="652"/>
      <c r="C165" s="652"/>
      <c r="D165" s="652"/>
      <c r="E165" s="652"/>
      <c r="F165" s="652"/>
      <c r="G165" s="652"/>
      <c r="H165" s="652"/>
      <c r="I165" s="652"/>
      <c r="J165" s="652"/>
      <c r="K165" s="652"/>
      <c r="L165" s="652"/>
      <c r="M165" s="652"/>
      <c r="N165" s="652"/>
      <c r="O165" s="652"/>
      <c r="P165" s="652"/>
      <c r="Q165" s="652"/>
      <c r="R165" s="652"/>
      <c r="S165" s="652"/>
      <c r="T165" s="652"/>
      <c r="U165" s="652"/>
      <c r="V165" s="652"/>
      <c r="W165" s="652"/>
      <c r="X165" s="652"/>
      <c r="Y165" s="652"/>
      <c r="Z165" s="652"/>
      <c r="AA165" s="652"/>
      <c r="AB165" s="652"/>
      <c r="AC165" s="652"/>
      <c r="AD165" s="652"/>
      <c r="AE165" s="652"/>
      <c r="AF165" s="652"/>
      <c r="AG165" s="652"/>
      <c r="AH165" s="652"/>
    </row>
    <row r="166" spans="1:34" hidden="1" x14ac:dyDescent="0.2">
      <c r="A166" s="652"/>
      <c r="B166" s="652"/>
      <c r="C166" s="652"/>
      <c r="D166" s="652"/>
      <c r="E166" s="652"/>
      <c r="F166" s="652"/>
      <c r="G166" s="652"/>
      <c r="H166" s="652"/>
      <c r="I166" s="652"/>
      <c r="J166" s="652"/>
      <c r="K166" s="652"/>
      <c r="L166" s="652"/>
      <c r="M166" s="652"/>
      <c r="N166" s="652"/>
      <c r="O166" s="652"/>
      <c r="P166" s="652"/>
      <c r="Q166" s="652"/>
      <c r="R166" s="652"/>
      <c r="S166" s="652"/>
      <c r="T166" s="652"/>
      <c r="U166" s="652"/>
      <c r="V166" s="652"/>
      <c r="W166" s="652"/>
      <c r="X166" s="652"/>
      <c r="Y166" s="652"/>
      <c r="Z166" s="652"/>
      <c r="AA166" s="652"/>
      <c r="AB166" s="652"/>
      <c r="AC166" s="652"/>
      <c r="AD166" s="652"/>
      <c r="AE166" s="652"/>
      <c r="AF166" s="652"/>
      <c r="AG166" s="652"/>
      <c r="AH166" s="652"/>
    </row>
    <row r="167" spans="1:34" hidden="1" x14ac:dyDescent="0.2">
      <c r="A167" s="652"/>
      <c r="B167" s="652"/>
      <c r="C167" s="652"/>
      <c r="D167" s="652"/>
      <c r="E167" s="652"/>
      <c r="F167" s="652"/>
      <c r="G167" s="652"/>
      <c r="H167" s="652"/>
      <c r="I167" s="652"/>
      <c r="J167" s="652"/>
      <c r="K167" s="652"/>
      <c r="L167" s="652"/>
      <c r="M167" s="652"/>
      <c r="N167" s="652"/>
      <c r="O167" s="652"/>
      <c r="P167" s="652"/>
      <c r="Q167" s="652"/>
      <c r="R167" s="652"/>
      <c r="S167" s="652"/>
      <c r="T167" s="652"/>
      <c r="U167" s="652"/>
      <c r="V167" s="652"/>
      <c r="W167" s="652"/>
      <c r="X167" s="652"/>
      <c r="Y167" s="652"/>
      <c r="Z167" s="652"/>
      <c r="AA167" s="652"/>
      <c r="AB167" s="652"/>
      <c r="AC167" s="652"/>
      <c r="AD167" s="652"/>
      <c r="AE167" s="652"/>
      <c r="AF167" s="652"/>
      <c r="AG167" s="652"/>
      <c r="AH167" s="652"/>
    </row>
    <row r="168" spans="1:34" hidden="1" x14ac:dyDescent="0.2">
      <c r="A168" s="652"/>
      <c r="B168" s="652"/>
      <c r="C168" s="652"/>
      <c r="D168" s="652"/>
      <c r="E168" s="652"/>
      <c r="F168" s="652"/>
      <c r="G168" s="652"/>
      <c r="H168" s="652"/>
      <c r="I168" s="652"/>
      <c r="J168" s="652"/>
      <c r="K168" s="652"/>
      <c r="L168" s="652"/>
      <c r="M168" s="652"/>
      <c r="N168" s="652"/>
      <c r="O168" s="652"/>
      <c r="P168" s="652"/>
      <c r="Q168" s="652"/>
      <c r="R168" s="652"/>
      <c r="S168" s="652"/>
      <c r="T168" s="652"/>
      <c r="U168" s="652"/>
      <c r="V168" s="652"/>
      <c r="W168" s="652"/>
      <c r="X168" s="652"/>
      <c r="Y168" s="652"/>
      <c r="Z168" s="652"/>
      <c r="AA168" s="652"/>
      <c r="AB168" s="652"/>
      <c r="AC168" s="652"/>
      <c r="AD168" s="652"/>
      <c r="AE168" s="652"/>
      <c r="AF168" s="652"/>
      <c r="AG168" s="652"/>
      <c r="AH168" s="652"/>
    </row>
    <row r="169" spans="1:34" hidden="1" x14ac:dyDescent="0.2">
      <c r="A169" s="652"/>
      <c r="B169" s="652"/>
      <c r="C169" s="652"/>
      <c r="D169" s="652"/>
      <c r="E169" s="652"/>
      <c r="F169" s="652"/>
      <c r="G169" s="652"/>
      <c r="H169" s="652"/>
      <c r="I169" s="652"/>
      <c r="J169" s="652"/>
      <c r="K169" s="652"/>
      <c r="L169" s="652"/>
      <c r="M169" s="652"/>
      <c r="N169" s="652"/>
      <c r="O169" s="652"/>
      <c r="P169" s="652"/>
      <c r="Q169" s="652"/>
      <c r="R169" s="652"/>
      <c r="S169" s="652"/>
      <c r="T169" s="652"/>
      <c r="U169" s="652"/>
      <c r="V169" s="652"/>
      <c r="W169" s="652"/>
      <c r="X169" s="652"/>
      <c r="Y169" s="652"/>
      <c r="Z169" s="652"/>
      <c r="AA169" s="652"/>
      <c r="AB169" s="652"/>
      <c r="AC169" s="652"/>
      <c r="AD169" s="652"/>
      <c r="AE169" s="652"/>
      <c r="AF169" s="652"/>
      <c r="AG169" s="652"/>
      <c r="AH169" s="652"/>
    </row>
    <row r="170" spans="1:34" hidden="1" x14ac:dyDescent="0.2">
      <c r="A170" s="652"/>
      <c r="B170" s="652"/>
      <c r="C170" s="652"/>
      <c r="D170" s="652"/>
      <c r="E170" s="652"/>
      <c r="F170" s="652"/>
      <c r="G170" s="652"/>
      <c r="H170" s="652"/>
      <c r="I170" s="652"/>
      <c r="J170" s="652"/>
      <c r="K170" s="652"/>
      <c r="L170" s="652"/>
      <c r="M170" s="652"/>
      <c r="N170" s="652"/>
      <c r="O170" s="652"/>
      <c r="P170" s="652"/>
      <c r="Q170" s="652"/>
      <c r="R170" s="652"/>
      <c r="S170" s="652"/>
      <c r="T170" s="652"/>
      <c r="U170" s="652"/>
      <c r="V170" s="652"/>
      <c r="W170" s="652"/>
      <c r="X170" s="652"/>
      <c r="Y170" s="652"/>
      <c r="Z170" s="652"/>
      <c r="AA170" s="652"/>
      <c r="AB170" s="652"/>
      <c r="AC170" s="652"/>
      <c r="AD170" s="652"/>
      <c r="AE170" s="652"/>
      <c r="AF170" s="652"/>
      <c r="AG170" s="652"/>
      <c r="AH170" s="652"/>
    </row>
    <row r="171" spans="1:34" hidden="1" x14ac:dyDescent="0.2">
      <c r="A171" s="652"/>
      <c r="B171" s="652"/>
      <c r="C171" s="652"/>
      <c r="D171" s="652"/>
      <c r="E171" s="652"/>
      <c r="F171" s="652"/>
      <c r="G171" s="652"/>
      <c r="H171" s="652"/>
      <c r="I171" s="652"/>
      <c r="J171" s="652"/>
      <c r="K171" s="652"/>
      <c r="L171" s="652"/>
      <c r="M171" s="652"/>
      <c r="N171" s="652"/>
      <c r="O171" s="652"/>
      <c r="P171" s="652"/>
      <c r="Q171" s="652"/>
      <c r="R171" s="652"/>
      <c r="S171" s="652"/>
      <c r="T171" s="652"/>
      <c r="U171" s="652"/>
      <c r="V171" s="652"/>
      <c r="W171" s="652"/>
      <c r="X171" s="652"/>
      <c r="Y171" s="652"/>
      <c r="Z171" s="652"/>
      <c r="AA171" s="652"/>
      <c r="AB171" s="652"/>
      <c r="AC171" s="652"/>
      <c r="AD171" s="652"/>
      <c r="AE171" s="652"/>
      <c r="AF171" s="652"/>
      <c r="AG171" s="652"/>
      <c r="AH171" s="652"/>
    </row>
    <row r="172" spans="1:34" hidden="1" x14ac:dyDescent="0.2">
      <c r="A172" s="652"/>
      <c r="B172" s="652"/>
      <c r="C172" s="652"/>
      <c r="D172" s="652"/>
      <c r="E172" s="652"/>
      <c r="F172" s="652"/>
      <c r="G172" s="652"/>
      <c r="H172" s="652"/>
      <c r="I172" s="652"/>
      <c r="J172" s="652"/>
      <c r="K172" s="652"/>
      <c r="L172" s="652"/>
      <c r="M172" s="652"/>
      <c r="N172" s="652"/>
      <c r="O172" s="652"/>
      <c r="P172" s="652"/>
      <c r="Q172" s="652"/>
      <c r="R172" s="652"/>
      <c r="S172" s="652"/>
      <c r="T172" s="652"/>
      <c r="U172" s="652"/>
      <c r="V172" s="652"/>
      <c r="W172" s="652"/>
      <c r="X172" s="652"/>
      <c r="Y172" s="652"/>
      <c r="Z172" s="652"/>
      <c r="AA172" s="652"/>
      <c r="AB172" s="652"/>
      <c r="AC172" s="652"/>
      <c r="AD172" s="652"/>
      <c r="AE172" s="652"/>
      <c r="AF172" s="652"/>
      <c r="AG172" s="652"/>
      <c r="AH172" s="652"/>
    </row>
    <row r="173" spans="1:34" hidden="1" x14ac:dyDescent="0.2">
      <c r="A173" s="652"/>
      <c r="B173" s="652"/>
      <c r="C173" s="652"/>
      <c r="D173" s="652"/>
      <c r="E173" s="652"/>
      <c r="F173" s="652"/>
      <c r="G173" s="652"/>
      <c r="H173" s="652"/>
      <c r="I173" s="652"/>
      <c r="J173" s="652"/>
      <c r="K173" s="652"/>
      <c r="L173" s="652"/>
      <c r="M173" s="652"/>
      <c r="N173" s="652"/>
      <c r="O173" s="652"/>
      <c r="P173" s="652"/>
      <c r="Q173" s="652"/>
      <c r="R173" s="652"/>
      <c r="S173" s="652"/>
      <c r="T173" s="652"/>
      <c r="U173" s="652"/>
      <c r="V173" s="652"/>
      <c r="W173" s="652"/>
      <c r="X173" s="652"/>
      <c r="Y173" s="652"/>
      <c r="Z173" s="652"/>
      <c r="AA173" s="652"/>
      <c r="AB173" s="652"/>
      <c r="AC173" s="652"/>
      <c r="AD173" s="652"/>
      <c r="AE173" s="652"/>
      <c r="AF173" s="652"/>
      <c r="AG173" s="652"/>
      <c r="AH173" s="652"/>
    </row>
    <row r="174" spans="1:34" hidden="1" x14ac:dyDescent="0.2">
      <c r="A174" s="652"/>
      <c r="B174" s="652"/>
      <c r="C174" s="652"/>
      <c r="D174" s="652"/>
      <c r="E174" s="652"/>
      <c r="F174" s="652"/>
      <c r="G174" s="652"/>
      <c r="H174" s="652"/>
      <c r="I174" s="652"/>
      <c r="J174" s="652"/>
      <c r="K174" s="652"/>
      <c r="L174" s="652"/>
      <c r="M174" s="652"/>
      <c r="N174" s="652"/>
      <c r="O174" s="652"/>
      <c r="P174" s="652"/>
      <c r="Q174" s="652"/>
      <c r="R174" s="652"/>
      <c r="S174" s="652"/>
      <c r="T174" s="652"/>
      <c r="U174" s="652"/>
      <c r="V174" s="652"/>
      <c r="W174" s="652"/>
      <c r="X174" s="652"/>
      <c r="Y174" s="652"/>
      <c r="Z174" s="652"/>
      <c r="AA174" s="652"/>
      <c r="AB174" s="652"/>
      <c r="AC174" s="652"/>
      <c r="AD174" s="652"/>
      <c r="AE174" s="652"/>
      <c r="AF174" s="652"/>
      <c r="AG174" s="652"/>
      <c r="AH174" s="652"/>
    </row>
    <row r="175" spans="1:34" hidden="1" x14ac:dyDescent="0.2">
      <c r="A175" s="652"/>
      <c r="B175" s="652"/>
      <c r="C175" s="652"/>
      <c r="D175" s="652"/>
      <c r="E175" s="652"/>
      <c r="F175" s="652"/>
      <c r="G175" s="652"/>
      <c r="H175" s="652"/>
      <c r="I175" s="652"/>
      <c r="J175" s="652"/>
      <c r="K175" s="652"/>
      <c r="L175" s="652"/>
      <c r="M175" s="652"/>
      <c r="N175" s="652"/>
      <c r="O175" s="652"/>
      <c r="P175" s="652"/>
      <c r="Q175" s="652"/>
      <c r="R175" s="652"/>
      <c r="S175" s="652"/>
      <c r="T175" s="652"/>
      <c r="U175" s="652"/>
      <c r="V175" s="652"/>
      <c r="W175" s="652"/>
      <c r="X175" s="652"/>
      <c r="Y175" s="652"/>
      <c r="Z175" s="652"/>
      <c r="AA175" s="652"/>
      <c r="AB175" s="652"/>
      <c r="AC175" s="652"/>
      <c r="AD175" s="652"/>
      <c r="AE175" s="652"/>
      <c r="AF175" s="652"/>
      <c r="AG175" s="652"/>
      <c r="AH175" s="652"/>
    </row>
    <row r="176" spans="1:34"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row>
    <row r="177" spans="1:34"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row>
    <row r="178" spans="1:34"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row>
    <row r="179" spans="1:34"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row>
    <row r="180" spans="1:34"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row>
    <row r="181" spans="1:34"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row>
    <row r="182" spans="1:34"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row>
    <row r="183" spans="1:34"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row>
    <row r="184" spans="1:34"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row>
    <row r="185" spans="1:34"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row>
    <row r="186" spans="1:34"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row>
    <row r="187" spans="1:34"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row>
    <row r="188" spans="1:34"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row>
    <row r="189" spans="1:34"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row>
    <row r="190" spans="1:34"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row>
    <row r="191" spans="1:34"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row>
    <row r="192" spans="1:34"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row>
    <row r="193" spans="1:34"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row>
    <row r="194" spans="1:34"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row>
    <row r="195" spans="1:34"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row>
    <row r="196" spans="1:34"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row>
    <row r="197" spans="1:34"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row>
    <row r="198" spans="1:34"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row>
    <row r="199" spans="1:34"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row>
    <row r="200" spans="1:34"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row>
    <row r="201" spans="1:34"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row>
    <row r="202" spans="1:34"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row>
    <row r="203" spans="1:34"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row>
    <row r="204" spans="1:34"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row>
    <row r="205" spans="1:34"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row>
    <row r="206" spans="1:34"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row>
    <row r="207" spans="1:34"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row>
    <row r="208" spans="1:34"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row>
    <row r="209" spans="1:34"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row>
    <row r="210" spans="1:34"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row>
    <row r="211" spans="1:34"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row>
    <row r="212" spans="1:34"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row>
    <row r="213" spans="1:34"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row>
    <row r="214" spans="1:34"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row>
    <row r="215" spans="1:34"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row>
    <row r="216" spans="1:34"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row>
    <row r="217" spans="1:34"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row>
    <row r="218" spans="1:34"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row>
    <row r="219" spans="1:34"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row>
    <row r="220" spans="1:34"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row>
    <row r="221" spans="1:34"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row>
    <row r="222" spans="1:34"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row>
    <row r="223" spans="1:34"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row>
    <row r="224" spans="1:34"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row>
    <row r="225" spans="1:34"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row>
    <row r="226" spans="1:34"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row>
    <row r="227" spans="1:34"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row>
    <row r="228" spans="1:34"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row>
    <row r="229" spans="1:34"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row>
    <row r="230" spans="1:34"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row>
    <row r="231" spans="1:34"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row>
    <row r="232" spans="1:34"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row>
    <row r="233" spans="1:34"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row>
    <row r="234" spans="1:34"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row>
    <row r="235" spans="1:34"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row>
    <row r="236" spans="1:34"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row>
    <row r="237" spans="1:34"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row>
    <row r="238" spans="1:34"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row>
    <row r="239" spans="1:34"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row>
    <row r="240" spans="1:34"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row>
    <row r="241" spans="1:34"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row>
    <row r="242" spans="1:34"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row>
    <row r="243" spans="1:34"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row>
    <row r="244" spans="1:34"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row>
    <row r="245" spans="1:34"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row>
    <row r="246" spans="1:34"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row>
    <row r="247" spans="1:34"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row>
    <row r="248" spans="1:34"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row>
    <row r="249" spans="1:34"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row>
    <row r="250" spans="1:34"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row>
    <row r="251" spans="1:34"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row>
    <row r="252" spans="1:34"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row>
    <row r="253" spans="1:34"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row>
    <row r="254" spans="1:34"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row>
    <row r="255" spans="1:34"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row>
    <row r="256" spans="1:34"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row>
    <row r="257" spans="1:34"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row>
    <row r="258" spans="1:34"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row>
    <row r="259" spans="1:34"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row>
    <row r="260" spans="1:34"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row>
    <row r="261" spans="1:34"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row>
    <row r="262" spans="1:34"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row>
    <row r="263" spans="1:34"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row>
    <row r="264" spans="1:34"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row>
    <row r="265" spans="1:34"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row>
    <row r="266" spans="1:34"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row>
    <row r="267" spans="1:34"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row>
    <row r="268" spans="1:34"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row>
    <row r="269" spans="1:34"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row>
    <row r="270" spans="1:34"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row>
    <row r="271" spans="1:34"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row>
    <row r="272" spans="1:34"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row>
    <row r="273" spans="1:34"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row>
    <row r="274" spans="1:34"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row>
    <row r="275" spans="1:34"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row>
    <row r="276" spans="1:34"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row>
    <row r="277" spans="1:34"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row>
    <row r="278" spans="1:34"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row>
    <row r="279" spans="1:34"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row>
    <row r="280" spans="1:34"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row>
    <row r="281" spans="1:34"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row>
    <row r="282" spans="1:34"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row>
    <row r="283" spans="1:34"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row>
    <row r="284" spans="1:34"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row>
    <row r="285" spans="1:34"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c r="AH285" s="652"/>
    </row>
    <row r="286" spans="1:34" hidden="1" x14ac:dyDescent="0.2">
      <c r="A286" s="652"/>
      <c r="B286" s="652"/>
      <c r="C286" s="652"/>
      <c r="D286" s="652"/>
      <c r="E286" s="652"/>
      <c r="F286" s="652"/>
      <c r="G286" s="652"/>
      <c r="H286" s="652"/>
      <c r="I286" s="652"/>
      <c r="J286" s="652"/>
      <c r="K286" s="652"/>
      <c r="L286" s="657"/>
      <c r="M286" s="657"/>
      <c r="N286" s="657"/>
      <c r="O286" s="652"/>
      <c r="P286" s="652"/>
      <c r="Q286" s="652"/>
      <c r="R286" s="652"/>
      <c r="S286" s="652"/>
      <c r="T286" s="657"/>
      <c r="U286" s="657"/>
      <c r="V286" s="657"/>
      <c r="W286" s="652"/>
      <c r="X286" s="652"/>
      <c r="Y286" s="652"/>
      <c r="Z286" s="652"/>
      <c r="AA286" s="652"/>
      <c r="AB286" s="652"/>
      <c r="AC286" s="652"/>
      <c r="AD286" s="652"/>
      <c r="AE286" s="652"/>
      <c r="AF286" s="652"/>
      <c r="AG286" s="652"/>
      <c r="AH286" s="652"/>
    </row>
    <row r="287" spans="1:34" hidden="1" x14ac:dyDescent="0.2">
      <c r="A287" s="652"/>
      <c r="B287" s="652"/>
      <c r="C287" s="652"/>
      <c r="D287" s="652"/>
      <c r="E287" s="652"/>
      <c r="F287" s="652"/>
      <c r="G287" s="652"/>
      <c r="H287" s="652"/>
      <c r="I287" s="652"/>
      <c r="J287" s="652"/>
      <c r="K287" s="652"/>
      <c r="L287" s="657"/>
      <c r="M287" s="657"/>
      <c r="N287" s="657"/>
      <c r="O287" s="652"/>
      <c r="P287" s="652"/>
      <c r="Q287" s="652"/>
      <c r="R287" s="652"/>
      <c r="S287" s="652"/>
      <c r="T287" s="657"/>
      <c r="U287" s="657"/>
      <c r="V287" s="657"/>
      <c r="W287" s="652"/>
      <c r="X287" s="652"/>
      <c r="Y287" s="652"/>
      <c r="Z287" s="652"/>
      <c r="AA287" s="652"/>
      <c r="AB287" s="652"/>
      <c r="AC287" s="652"/>
      <c r="AD287" s="652"/>
      <c r="AE287" s="652"/>
      <c r="AF287" s="652"/>
      <c r="AG287" s="652"/>
      <c r="AH287" s="652"/>
    </row>
    <row r="288" spans="1:34" hidden="1" x14ac:dyDescent="0.2">
      <c r="A288" s="652"/>
      <c r="B288" s="652"/>
      <c r="C288" s="652"/>
      <c r="D288" s="652"/>
      <c r="E288" s="652"/>
      <c r="F288" s="652"/>
      <c r="G288" s="652"/>
      <c r="H288" s="652"/>
      <c r="I288" s="652"/>
      <c r="J288" s="652"/>
      <c r="K288" s="652"/>
      <c r="L288" s="657"/>
      <c r="M288" s="657"/>
      <c r="N288" s="657"/>
      <c r="O288" s="652"/>
      <c r="P288" s="652"/>
      <c r="Q288" s="652"/>
      <c r="R288" s="652"/>
      <c r="S288" s="652"/>
      <c r="T288" s="657"/>
      <c r="U288" s="657"/>
      <c r="V288" s="657"/>
      <c r="W288" s="652"/>
      <c r="X288" s="652"/>
      <c r="Y288" s="652"/>
      <c r="Z288" s="652"/>
      <c r="AA288" s="652"/>
      <c r="AB288" s="652"/>
      <c r="AC288" s="652"/>
      <c r="AD288" s="652"/>
      <c r="AE288" s="652"/>
      <c r="AF288" s="652"/>
      <c r="AG288" s="652"/>
      <c r="AH288" s="652"/>
    </row>
    <row r="289" spans="1:34" hidden="1" x14ac:dyDescent="0.2">
      <c r="A289" s="652"/>
      <c r="B289" s="652"/>
      <c r="C289" s="652"/>
      <c r="D289" s="652"/>
      <c r="E289" s="652"/>
      <c r="F289" s="652"/>
      <c r="G289" s="652"/>
      <c r="H289" s="652"/>
      <c r="I289" s="652"/>
      <c r="J289" s="652"/>
      <c r="K289" s="652"/>
      <c r="L289" s="657"/>
      <c r="M289" s="657"/>
      <c r="N289" s="657"/>
      <c r="O289" s="652"/>
      <c r="P289" s="652"/>
      <c r="Q289" s="652"/>
      <c r="R289" s="652"/>
      <c r="S289" s="652"/>
      <c r="T289" s="657"/>
      <c r="U289" s="657"/>
      <c r="V289" s="657"/>
      <c r="W289" s="652"/>
      <c r="X289" s="652"/>
      <c r="Y289" s="652"/>
      <c r="Z289" s="652"/>
      <c r="AA289" s="652"/>
      <c r="AB289" s="652"/>
      <c r="AC289" s="652"/>
      <c r="AD289" s="652"/>
      <c r="AE289" s="652"/>
      <c r="AF289" s="652"/>
      <c r="AG289" s="652"/>
      <c r="AH289" s="652"/>
    </row>
    <row r="290" spans="1:34" hidden="1" x14ac:dyDescent="0.2">
      <c r="A290" s="652"/>
      <c r="B290" s="652"/>
      <c r="C290" s="652"/>
      <c r="D290" s="652"/>
      <c r="E290" s="652"/>
      <c r="F290" s="652"/>
      <c r="G290" s="652"/>
      <c r="H290" s="652"/>
      <c r="I290" s="652"/>
      <c r="J290" s="652"/>
      <c r="K290" s="652"/>
      <c r="L290" s="657"/>
      <c r="M290" s="657"/>
      <c r="N290" s="657"/>
      <c r="O290" s="652"/>
      <c r="P290" s="652"/>
      <c r="Q290" s="652"/>
      <c r="R290" s="652"/>
      <c r="S290" s="652"/>
      <c r="T290" s="657"/>
      <c r="U290" s="657"/>
      <c r="V290" s="657"/>
      <c r="W290" s="652"/>
      <c r="X290" s="652"/>
      <c r="Y290" s="652"/>
      <c r="Z290" s="652"/>
      <c r="AA290" s="652"/>
      <c r="AB290" s="652"/>
      <c r="AC290" s="652"/>
      <c r="AD290" s="652"/>
      <c r="AE290" s="652"/>
      <c r="AF290" s="652"/>
      <c r="AG290" s="652"/>
      <c r="AH290" s="652"/>
    </row>
    <row r="291" spans="1:34" hidden="1" x14ac:dyDescent="0.2">
      <c r="A291" s="652"/>
      <c r="B291" s="652"/>
      <c r="C291" s="652"/>
      <c r="D291" s="652"/>
      <c r="E291" s="652"/>
      <c r="F291" s="652"/>
      <c r="G291" s="652"/>
      <c r="H291" s="652"/>
      <c r="I291" s="652"/>
      <c r="J291" s="652"/>
      <c r="K291" s="652"/>
      <c r="L291" s="657"/>
      <c r="M291" s="657"/>
      <c r="N291" s="657"/>
      <c r="O291" s="652"/>
      <c r="P291" s="652"/>
      <c r="Q291" s="652"/>
      <c r="R291" s="652"/>
      <c r="S291" s="652"/>
      <c r="T291" s="657"/>
      <c r="U291" s="657"/>
      <c r="V291" s="657"/>
      <c r="W291" s="652"/>
      <c r="X291" s="652"/>
      <c r="Y291" s="652"/>
      <c r="Z291" s="652"/>
      <c r="AA291" s="652"/>
      <c r="AB291" s="652"/>
      <c r="AC291" s="652"/>
      <c r="AD291" s="652"/>
      <c r="AE291" s="652"/>
      <c r="AF291" s="652"/>
      <c r="AG291" s="652"/>
      <c r="AH291" s="652"/>
    </row>
    <row r="292" spans="1:34" hidden="1" x14ac:dyDescent="0.2">
      <c r="A292" s="652"/>
      <c r="B292" s="652"/>
      <c r="C292" s="652"/>
      <c r="D292" s="652"/>
      <c r="E292" s="652"/>
      <c r="F292" s="652"/>
      <c r="G292" s="652"/>
      <c r="H292" s="652"/>
      <c r="I292" s="652"/>
      <c r="J292" s="652"/>
      <c r="K292" s="652"/>
      <c r="L292" s="657"/>
      <c r="M292" s="657"/>
      <c r="N292" s="657"/>
      <c r="O292" s="652"/>
      <c r="P292" s="652"/>
      <c r="Q292" s="652"/>
      <c r="R292" s="652"/>
      <c r="S292" s="652"/>
      <c r="T292" s="657"/>
      <c r="U292" s="657"/>
      <c r="V292" s="657"/>
      <c r="W292" s="652"/>
      <c r="X292" s="652"/>
      <c r="Y292" s="652"/>
      <c r="Z292" s="652"/>
      <c r="AA292" s="652"/>
      <c r="AB292" s="652"/>
      <c r="AC292" s="652"/>
      <c r="AD292" s="652"/>
      <c r="AE292" s="652"/>
      <c r="AF292" s="652"/>
      <c r="AG292" s="652"/>
      <c r="AH292" s="652"/>
    </row>
    <row r="293" spans="1:34" hidden="1" x14ac:dyDescent="0.2">
      <c r="A293" s="652"/>
      <c r="B293" s="652"/>
      <c r="C293" s="652"/>
      <c r="D293" s="652"/>
      <c r="E293" s="652"/>
      <c r="F293" s="652"/>
      <c r="G293" s="652"/>
      <c r="H293" s="652"/>
      <c r="I293" s="652"/>
      <c r="J293" s="652"/>
      <c r="K293" s="652"/>
      <c r="L293" s="657"/>
      <c r="M293" s="657"/>
      <c r="N293" s="657"/>
      <c r="O293" s="652"/>
      <c r="P293" s="652"/>
      <c r="Q293" s="652"/>
      <c r="R293" s="652"/>
      <c r="S293" s="652"/>
      <c r="T293" s="657"/>
      <c r="U293" s="657"/>
      <c r="V293" s="657"/>
      <c r="W293" s="652"/>
      <c r="X293" s="652"/>
      <c r="Y293" s="652"/>
      <c r="Z293" s="652"/>
      <c r="AA293" s="652"/>
      <c r="AB293" s="652"/>
      <c r="AC293" s="652"/>
      <c r="AD293" s="652"/>
      <c r="AE293" s="652"/>
      <c r="AF293" s="652"/>
      <c r="AG293" s="652"/>
      <c r="AH293" s="652"/>
    </row>
    <row r="294" spans="1:34" hidden="1" x14ac:dyDescent="0.2">
      <c r="A294" s="652"/>
      <c r="B294" s="652"/>
      <c r="C294" s="652"/>
      <c r="D294" s="652"/>
      <c r="E294" s="652"/>
      <c r="F294" s="652"/>
      <c r="G294" s="652"/>
      <c r="H294" s="652"/>
      <c r="I294" s="652"/>
      <c r="J294" s="652"/>
      <c r="K294" s="652"/>
      <c r="L294" s="657"/>
      <c r="M294" s="657"/>
      <c r="N294" s="657"/>
      <c r="O294" s="652"/>
      <c r="P294" s="652"/>
      <c r="Q294" s="652"/>
      <c r="R294" s="652"/>
      <c r="S294" s="652"/>
      <c r="T294" s="657"/>
      <c r="U294" s="657"/>
      <c r="V294" s="657"/>
      <c r="W294" s="652"/>
      <c r="X294" s="652"/>
      <c r="Y294" s="652"/>
      <c r="Z294" s="652"/>
      <c r="AA294" s="652"/>
      <c r="AB294" s="652"/>
      <c r="AC294" s="652"/>
      <c r="AD294" s="652"/>
      <c r="AE294" s="652"/>
      <c r="AF294" s="652"/>
      <c r="AG294" s="652"/>
      <c r="AH294" s="652"/>
    </row>
    <row r="295" spans="1:34" hidden="1" x14ac:dyDescent="0.2">
      <c r="A295" s="652"/>
      <c r="B295" s="652"/>
      <c r="C295" s="652"/>
      <c r="D295" s="652"/>
      <c r="E295" s="652"/>
      <c r="F295" s="652"/>
      <c r="G295" s="652"/>
      <c r="H295" s="652"/>
      <c r="I295" s="652"/>
      <c r="J295" s="652"/>
      <c r="K295" s="652"/>
      <c r="L295" s="657"/>
      <c r="M295" s="657"/>
      <c r="N295" s="657"/>
      <c r="O295" s="652"/>
      <c r="P295" s="652"/>
      <c r="Q295" s="652"/>
      <c r="R295" s="652"/>
      <c r="S295" s="652"/>
      <c r="T295" s="657"/>
      <c r="U295" s="657"/>
      <c r="V295" s="657"/>
      <c r="W295" s="652"/>
      <c r="X295" s="652"/>
      <c r="Y295" s="652"/>
      <c r="Z295" s="652"/>
      <c r="AA295" s="652"/>
      <c r="AB295" s="652"/>
      <c r="AC295" s="652"/>
      <c r="AD295" s="652"/>
      <c r="AE295" s="652"/>
      <c r="AF295" s="652"/>
      <c r="AG295" s="652"/>
      <c r="AH295" s="652"/>
    </row>
    <row r="296" spans="1:34" hidden="1" x14ac:dyDescent="0.2">
      <c r="A296" s="652"/>
      <c r="B296" s="652"/>
      <c r="C296" s="652"/>
      <c r="D296" s="652"/>
      <c r="E296" s="652"/>
      <c r="F296" s="652"/>
      <c r="G296" s="652"/>
      <c r="H296" s="652"/>
      <c r="I296" s="652"/>
      <c r="J296" s="652"/>
      <c r="K296" s="652"/>
      <c r="L296" s="657"/>
      <c r="M296" s="657"/>
      <c r="N296" s="657"/>
      <c r="O296" s="652"/>
      <c r="P296" s="652"/>
      <c r="Q296" s="652"/>
      <c r="R296" s="652"/>
      <c r="S296" s="652"/>
      <c r="T296" s="657"/>
      <c r="U296" s="657"/>
      <c r="V296" s="657"/>
      <c r="W296" s="652"/>
      <c r="X296" s="652"/>
      <c r="Y296" s="652"/>
      <c r="Z296" s="652"/>
      <c r="AA296" s="652"/>
      <c r="AB296" s="652"/>
      <c r="AC296" s="652"/>
      <c r="AD296" s="652"/>
      <c r="AE296" s="652"/>
      <c r="AF296" s="652"/>
      <c r="AG296" s="652"/>
      <c r="AH296" s="652"/>
    </row>
    <row r="297" spans="1:34" hidden="1" x14ac:dyDescent="0.2">
      <c r="A297" s="652"/>
      <c r="B297" s="652"/>
      <c r="C297" s="652"/>
      <c r="D297" s="652"/>
      <c r="E297" s="652"/>
      <c r="F297" s="652"/>
      <c r="G297" s="652"/>
      <c r="H297" s="652"/>
      <c r="I297" s="652"/>
      <c r="J297" s="652"/>
      <c r="K297" s="652"/>
      <c r="L297" s="657"/>
      <c r="M297" s="657"/>
      <c r="N297" s="657"/>
      <c r="O297" s="652"/>
      <c r="P297" s="652"/>
      <c r="Q297" s="652"/>
      <c r="R297" s="652"/>
      <c r="S297" s="652"/>
      <c r="T297" s="657"/>
      <c r="U297" s="657"/>
      <c r="V297" s="657"/>
      <c r="W297" s="652"/>
      <c r="X297" s="652"/>
      <c r="Y297" s="652"/>
      <c r="Z297" s="652"/>
      <c r="AA297" s="652"/>
      <c r="AB297" s="652"/>
      <c r="AC297" s="652"/>
      <c r="AD297" s="652"/>
      <c r="AE297" s="652"/>
      <c r="AF297" s="652"/>
      <c r="AG297" s="652"/>
      <c r="AH297" s="652"/>
    </row>
    <row r="298" spans="1:34" x14ac:dyDescent="0.2">
      <c r="A298" s="652"/>
      <c r="B298" s="652"/>
      <c r="C298" s="652"/>
      <c r="D298" s="652"/>
      <c r="E298" s="652"/>
      <c r="F298" s="652"/>
      <c r="G298" s="652"/>
      <c r="H298" s="652"/>
      <c r="I298" s="652"/>
      <c r="J298" s="652"/>
      <c r="K298" s="652"/>
      <c r="L298" s="657"/>
      <c r="M298" s="657"/>
      <c r="N298" s="657"/>
      <c r="O298" s="652"/>
      <c r="P298" s="652"/>
      <c r="Q298" s="652"/>
      <c r="R298" s="652"/>
      <c r="S298" s="652"/>
      <c r="T298" s="657"/>
      <c r="U298" s="657"/>
      <c r="V298" s="657"/>
      <c r="W298" s="652"/>
      <c r="X298" s="652"/>
      <c r="Y298" s="652"/>
      <c r="Z298" s="652"/>
      <c r="AA298" s="652"/>
      <c r="AB298" s="652"/>
      <c r="AC298" s="652"/>
      <c r="AD298" s="652"/>
      <c r="AE298" s="652"/>
      <c r="AF298" s="652"/>
      <c r="AG298" s="652"/>
      <c r="AH298" s="652"/>
    </row>
    <row r="299" spans="1:34" x14ac:dyDescent="0.2">
      <c r="A299" s="652"/>
      <c r="B299" s="652"/>
      <c r="C299" s="697" t="s">
        <v>182</v>
      </c>
      <c r="D299" s="698"/>
      <c r="E299" s="698"/>
      <c r="F299" s="652"/>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c r="AH299" s="652"/>
    </row>
    <row r="300" spans="1:34" x14ac:dyDescent="0.2">
      <c r="A300" s="699">
        <v>1</v>
      </c>
      <c r="B300" s="700" t="str">
        <f>IFERROR(INDEX(B$1:B$100,MATCH(A300,A$1:A$100,0)),"")</f>
        <v>Ivar Viljaste</v>
      </c>
      <c r="C300" s="711">
        <v>40</v>
      </c>
      <c r="D300" s="702"/>
      <c r="E300" s="702"/>
      <c r="F300" s="652"/>
      <c r="G300" s="652"/>
      <c r="H300" s="652"/>
      <c r="I300" s="652"/>
      <c r="J300" s="652"/>
      <c r="K300" s="652"/>
      <c r="L300" s="652"/>
      <c r="M300" s="652"/>
      <c r="N300" s="652"/>
      <c r="O300" s="652"/>
      <c r="P300" s="652"/>
      <c r="Q300" s="652"/>
      <c r="R300" s="652"/>
      <c r="S300" s="652"/>
      <c r="T300" s="652"/>
      <c r="U300" s="652"/>
      <c r="V300" s="652"/>
      <c r="W300" s="652"/>
      <c r="X300" s="652"/>
      <c r="Y300" s="652"/>
      <c r="Z300" s="652"/>
      <c r="AA300" s="652"/>
      <c r="AB300" s="652"/>
      <c r="AC300" s="652"/>
      <c r="AD300" s="652"/>
      <c r="AE300" s="652"/>
      <c r="AF300" s="652"/>
      <c r="AG300" s="652"/>
      <c r="AH300" s="652"/>
    </row>
    <row r="301" spans="1:34" x14ac:dyDescent="0.2">
      <c r="A301" s="699">
        <v>2</v>
      </c>
      <c r="B301" s="700" t="str">
        <f t="shared" ref="B301:B323" si="7">IFERROR(INDEX(B$1:B$100,MATCH(A301,A$1:A$100,0)),"")</f>
        <v>Janek Tarto</v>
      </c>
      <c r="C301" s="711">
        <v>34</v>
      </c>
      <c r="D301" s="653"/>
      <c r="E301" s="653"/>
      <c r="F301" s="652"/>
      <c r="G301" s="652"/>
      <c r="H301" s="652"/>
      <c r="I301" s="652"/>
      <c r="J301" s="652"/>
      <c r="K301" s="652"/>
      <c r="L301" s="652"/>
      <c r="M301" s="652"/>
      <c r="N301" s="652"/>
      <c r="O301" s="652"/>
      <c r="P301" s="652"/>
      <c r="Q301" s="652"/>
      <c r="R301" s="652"/>
      <c r="S301" s="652"/>
      <c r="T301" s="652"/>
      <c r="U301" s="652"/>
      <c r="V301" s="652"/>
      <c r="W301" s="703"/>
      <c r="X301" s="652"/>
      <c r="Y301" s="652"/>
      <c r="Z301" s="652"/>
      <c r="AA301" s="652"/>
      <c r="AB301" s="652"/>
      <c r="AC301" s="652"/>
      <c r="AD301" s="652"/>
      <c r="AE301" s="652"/>
      <c r="AF301" s="652"/>
      <c r="AG301" s="652"/>
      <c r="AH301" s="652"/>
    </row>
    <row r="302" spans="1:34" x14ac:dyDescent="0.2">
      <c r="A302" s="699">
        <v>3</v>
      </c>
      <c r="B302" s="700" t="str">
        <f t="shared" si="7"/>
        <v>Henri Mitt</v>
      </c>
      <c r="C302" s="711">
        <v>30</v>
      </c>
      <c r="D302" s="653"/>
      <c r="E302" s="653"/>
      <c r="F302" s="652"/>
      <c r="G302" s="652"/>
      <c r="H302" s="652"/>
      <c r="I302" s="652"/>
      <c r="J302" s="652"/>
      <c r="K302" s="652"/>
      <c r="L302" s="652"/>
      <c r="M302" s="652"/>
      <c r="N302" s="652"/>
      <c r="O302" s="652"/>
      <c r="P302" s="652"/>
      <c r="Q302" s="652"/>
      <c r="R302" s="652"/>
      <c r="S302" s="652"/>
      <c r="T302" s="652"/>
      <c r="U302" s="652"/>
      <c r="V302" s="652"/>
      <c r="W302" s="652"/>
      <c r="X302" s="652"/>
      <c r="Y302" s="652"/>
      <c r="Z302" s="652"/>
      <c r="AA302" s="652"/>
      <c r="AB302" s="652"/>
      <c r="AC302" s="652"/>
      <c r="AD302" s="652"/>
      <c r="AE302" s="652"/>
      <c r="AF302" s="652"/>
      <c r="AG302" s="652"/>
      <c r="AH302" s="652"/>
    </row>
    <row r="303" spans="1:34" x14ac:dyDescent="0.2">
      <c r="A303" s="699">
        <v>4</v>
      </c>
      <c r="B303" s="700" t="str">
        <f t="shared" si="7"/>
        <v>Kenneth Muusikus</v>
      </c>
      <c r="C303" s="711">
        <v>26</v>
      </c>
      <c r="D303" s="653"/>
      <c r="E303" s="653"/>
      <c r="F303" s="652"/>
      <c r="G303" s="652"/>
      <c r="H303" s="652"/>
      <c r="I303" s="652"/>
      <c r="J303" s="652"/>
      <c r="K303" s="652"/>
      <c r="L303" s="652"/>
      <c r="M303" s="652"/>
      <c r="N303" s="652"/>
      <c r="O303" s="652"/>
      <c r="P303" s="652"/>
      <c r="Q303" s="652"/>
      <c r="R303" s="652"/>
      <c r="S303" s="652"/>
      <c r="T303" s="652"/>
      <c r="U303" s="652"/>
      <c r="V303" s="652"/>
      <c r="W303" s="652"/>
      <c r="X303" s="652"/>
      <c r="Y303" s="652"/>
      <c r="Z303" s="652"/>
      <c r="AA303" s="652"/>
      <c r="AB303" s="652"/>
      <c r="AC303" s="652"/>
      <c r="AD303" s="652"/>
      <c r="AE303" s="652"/>
      <c r="AF303" s="652"/>
      <c r="AG303" s="652"/>
      <c r="AH303" s="652"/>
    </row>
    <row r="304" spans="1:34" x14ac:dyDescent="0.2">
      <c r="A304" s="699">
        <v>5</v>
      </c>
      <c r="B304" s="700" t="str">
        <f t="shared" si="7"/>
        <v>Andres Veski</v>
      </c>
      <c r="C304" s="711">
        <v>24</v>
      </c>
      <c r="D304" s="653"/>
      <c r="E304" s="653"/>
      <c r="F304" s="652"/>
      <c r="G304" s="652"/>
      <c r="H304" s="652"/>
      <c r="I304" s="652"/>
      <c r="J304" s="652"/>
      <c r="K304" s="652"/>
      <c r="L304" s="652"/>
      <c r="M304" s="652"/>
      <c r="N304" s="652"/>
      <c r="O304" s="652"/>
      <c r="P304" s="652"/>
      <c r="Q304" s="652"/>
      <c r="R304" s="652"/>
      <c r="S304" s="652"/>
      <c r="T304" s="652"/>
      <c r="U304" s="652"/>
      <c r="V304" s="652"/>
      <c r="W304" s="652"/>
      <c r="X304" s="652"/>
      <c r="Y304" s="652"/>
      <c r="Z304" s="652"/>
      <c r="AA304" s="652"/>
      <c r="AB304" s="652"/>
      <c r="AC304" s="652"/>
      <c r="AD304" s="652"/>
      <c r="AE304" s="652"/>
      <c r="AF304" s="652"/>
      <c r="AG304" s="652"/>
      <c r="AH304" s="652"/>
    </row>
    <row r="305" spans="1:34" x14ac:dyDescent="0.2">
      <c r="A305" s="699">
        <v>6</v>
      </c>
      <c r="B305" s="700" t="str">
        <f t="shared" si="7"/>
        <v>Matti Vinni</v>
      </c>
      <c r="C305" s="711">
        <v>22</v>
      </c>
      <c r="D305" s="653"/>
      <c r="E305" s="653"/>
      <c r="F305" s="652"/>
      <c r="G305" s="652"/>
      <c r="H305" s="652"/>
      <c r="I305" s="652"/>
      <c r="J305" s="652"/>
      <c r="K305" s="652"/>
      <c r="L305" s="652"/>
      <c r="M305" s="652"/>
      <c r="N305" s="652"/>
      <c r="O305" s="652"/>
      <c r="P305" s="652"/>
      <c r="Q305" s="652"/>
      <c r="R305" s="652"/>
      <c r="S305" s="652"/>
      <c r="T305" s="652"/>
      <c r="U305" s="652"/>
      <c r="V305" s="652"/>
      <c r="W305" s="652"/>
      <c r="X305" s="652"/>
      <c r="Y305" s="652"/>
      <c r="Z305" s="652"/>
      <c r="AA305" s="652"/>
      <c r="AB305" s="652"/>
      <c r="AC305" s="652"/>
      <c r="AD305" s="652"/>
      <c r="AE305" s="652"/>
      <c r="AF305" s="652"/>
      <c r="AG305" s="652"/>
      <c r="AH305" s="652"/>
    </row>
    <row r="306" spans="1:34" x14ac:dyDescent="0.2">
      <c r="A306" s="699">
        <v>7</v>
      </c>
      <c r="B306" s="700" t="str">
        <f t="shared" si="7"/>
        <v>Jaan Saar</v>
      </c>
      <c r="C306" s="711">
        <v>20</v>
      </c>
      <c r="D306" s="653"/>
      <c r="E306" s="653"/>
      <c r="F306" s="652"/>
      <c r="G306" s="652"/>
      <c r="H306" s="652"/>
      <c r="I306" s="652"/>
      <c r="J306" s="652"/>
      <c r="K306" s="652"/>
      <c r="L306" s="652"/>
      <c r="M306" s="652"/>
      <c r="N306" s="652"/>
      <c r="O306" s="652"/>
      <c r="P306" s="652"/>
      <c r="Q306" s="652"/>
      <c r="R306" s="652"/>
      <c r="S306" s="652"/>
      <c r="T306" s="652"/>
      <c r="U306" s="652"/>
      <c r="V306" s="652"/>
      <c r="W306" s="703"/>
      <c r="X306" s="652"/>
      <c r="Y306" s="652"/>
      <c r="Z306" s="652"/>
      <c r="AA306" s="652"/>
      <c r="AB306" s="652"/>
      <c r="AC306" s="652"/>
      <c r="AD306" s="652"/>
      <c r="AE306" s="652"/>
      <c r="AF306" s="652"/>
      <c r="AG306" s="652"/>
      <c r="AH306" s="652"/>
    </row>
    <row r="307" spans="1:34" x14ac:dyDescent="0.2">
      <c r="A307" s="699">
        <v>8</v>
      </c>
      <c r="B307" s="700" t="str">
        <f t="shared" si="7"/>
        <v>Tõnu Kapper</v>
      </c>
      <c r="C307" s="711">
        <v>18</v>
      </c>
      <c r="D307" s="653"/>
      <c r="E307" s="653"/>
      <c r="F307" s="652"/>
      <c r="G307" s="652"/>
      <c r="H307" s="652"/>
      <c r="I307" s="652"/>
      <c r="J307" s="652"/>
      <c r="K307" s="652"/>
      <c r="L307" s="652"/>
      <c r="M307" s="652"/>
      <c r="N307" s="652"/>
      <c r="O307" s="652"/>
      <c r="P307" s="652"/>
      <c r="Q307" s="652"/>
      <c r="R307" s="652"/>
      <c r="S307" s="652"/>
      <c r="T307" s="652"/>
      <c r="U307" s="652"/>
      <c r="V307" s="652"/>
      <c r="W307" s="652"/>
      <c r="X307" s="652"/>
      <c r="Y307" s="652"/>
      <c r="Z307" s="652"/>
      <c r="AA307" s="652"/>
      <c r="AB307" s="652"/>
      <c r="AC307" s="652"/>
      <c r="AD307" s="652"/>
      <c r="AE307" s="652"/>
      <c r="AF307" s="652"/>
      <c r="AG307" s="652"/>
      <c r="AH307" s="652"/>
    </row>
    <row r="308" spans="1:34" x14ac:dyDescent="0.2">
      <c r="A308" s="699">
        <v>9</v>
      </c>
      <c r="B308" s="700" t="str">
        <f t="shared" si="7"/>
        <v>Jaan Sepp</v>
      </c>
      <c r="C308" s="711">
        <v>16</v>
      </c>
      <c r="D308" s="653"/>
      <c r="E308" s="653"/>
      <c r="F308" s="652"/>
      <c r="G308" s="652"/>
      <c r="H308" s="652"/>
      <c r="I308" s="652"/>
      <c r="J308" s="652"/>
      <c r="K308" s="652"/>
      <c r="L308" s="652"/>
      <c r="M308" s="652"/>
      <c r="N308" s="652"/>
      <c r="O308" s="652"/>
      <c r="P308" s="652"/>
      <c r="Q308" s="652"/>
      <c r="R308" s="652"/>
      <c r="S308" s="652"/>
      <c r="T308" s="652"/>
      <c r="U308" s="652"/>
      <c r="V308" s="652"/>
      <c r="W308" s="652"/>
      <c r="X308" s="652"/>
      <c r="Y308" s="652"/>
      <c r="Z308" s="652"/>
      <c r="AA308" s="652"/>
      <c r="AB308" s="652"/>
      <c r="AC308" s="652"/>
      <c r="AD308" s="652"/>
      <c r="AE308" s="652"/>
      <c r="AF308" s="652"/>
      <c r="AG308" s="652"/>
      <c r="AH308" s="652"/>
    </row>
    <row r="309" spans="1:34" x14ac:dyDescent="0.2">
      <c r="A309" s="699">
        <v>10</v>
      </c>
      <c r="B309" s="700" t="str">
        <f t="shared" si="7"/>
        <v>Mait Metsla</v>
      </c>
      <c r="C309" s="701">
        <v>14</v>
      </c>
      <c r="D309" s="653"/>
      <c r="E309" s="653"/>
      <c r="F309" s="652"/>
      <c r="G309" s="652"/>
      <c r="H309" s="652"/>
      <c r="I309" s="652"/>
      <c r="J309" s="652"/>
      <c r="K309" s="652"/>
      <c r="L309" s="652"/>
      <c r="M309" s="652"/>
      <c r="N309" s="652"/>
      <c r="O309" s="652"/>
      <c r="P309" s="652"/>
      <c r="Q309" s="652"/>
      <c r="R309" s="652"/>
      <c r="S309" s="652"/>
      <c r="T309" s="652"/>
      <c r="U309" s="652"/>
      <c r="V309" s="652"/>
      <c r="W309" s="652"/>
      <c r="X309" s="652"/>
      <c r="Y309" s="652"/>
      <c r="Z309" s="652"/>
      <c r="AA309" s="652"/>
      <c r="AB309" s="652"/>
      <c r="AC309" s="652"/>
      <c r="AD309" s="652"/>
      <c r="AE309" s="652"/>
      <c r="AF309" s="652"/>
      <c r="AG309" s="652"/>
      <c r="AH309" s="652"/>
    </row>
    <row r="310" spans="1:34" x14ac:dyDescent="0.2">
      <c r="A310" s="699">
        <v>11</v>
      </c>
      <c r="B310" s="700" t="str">
        <f t="shared" si="7"/>
        <v>Elmo lageda</v>
      </c>
      <c r="C310" s="701">
        <v>12</v>
      </c>
      <c r="D310" s="652"/>
      <c r="E310" s="652"/>
      <c r="F310" s="652"/>
      <c r="G310" s="652"/>
      <c r="H310" s="652"/>
      <c r="I310" s="652"/>
      <c r="J310" s="652"/>
      <c r="K310" s="652"/>
      <c r="L310" s="652"/>
      <c r="M310" s="652"/>
      <c r="N310" s="652"/>
      <c r="O310" s="652"/>
      <c r="P310" s="652"/>
      <c r="Q310" s="652"/>
      <c r="R310" s="652"/>
      <c r="S310" s="652"/>
      <c r="T310" s="652"/>
      <c r="U310" s="652"/>
      <c r="V310" s="652"/>
      <c r="W310" s="652"/>
      <c r="X310" s="652"/>
      <c r="Y310" s="652"/>
      <c r="Z310" s="652"/>
      <c r="AA310" s="652"/>
      <c r="AB310" s="652"/>
      <c r="AC310" s="652"/>
      <c r="AD310" s="652"/>
      <c r="AE310" s="652"/>
      <c r="AF310" s="652"/>
      <c r="AG310" s="652"/>
      <c r="AH310" s="652"/>
    </row>
    <row r="311" spans="1:34" x14ac:dyDescent="0.2">
      <c r="A311" s="699">
        <v>12</v>
      </c>
      <c r="B311" s="700" t="str">
        <f t="shared" si="7"/>
        <v>Svetlana Veski</v>
      </c>
      <c r="C311" s="701">
        <v>10</v>
      </c>
      <c r="D311" s="652"/>
      <c r="E311" s="652"/>
      <c r="F311" s="652"/>
      <c r="G311" s="652"/>
      <c r="H311" s="652"/>
      <c r="I311" s="652"/>
      <c r="J311" s="652"/>
      <c r="K311" s="652"/>
      <c r="L311" s="652"/>
      <c r="M311" s="652"/>
      <c r="N311" s="652"/>
      <c r="O311" s="652"/>
      <c r="P311" s="652"/>
      <c r="Q311" s="652"/>
      <c r="R311" s="652"/>
      <c r="S311" s="652"/>
      <c r="T311" s="652"/>
      <c r="U311" s="652"/>
      <c r="V311" s="652"/>
      <c r="W311" s="652"/>
      <c r="X311" s="652"/>
      <c r="Y311" s="652"/>
      <c r="Z311" s="652"/>
      <c r="AA311" s="652"/>
      <c r="AB311" s="652"/>
      <c r="AH311" s="652"/>
    </row>
    <row r="312" spans="1:34" x14ac:dyDescent="0.2">
      <c r="A312" s="699">
        <v>13</v>
      </c>
      <c r="B312" s="700" t="str">
        <f t="shared" si="7"/>
        <v>Liidia Põllu</v>
      </c>
      <c r="C312" s="701">
        <v>8</v>
      </c>
      <c r="D312" s="652"/>
      <c r="E312" s="652"/>
      <c r="F312" s="652"/>
      <c r="G312" s="652"/>
      <c r="H312" s="652"/>
      <c r="I312" s="652"/>
      <c r="J312" s="652"/>
      <c r="K312" s="652"/>
      <c r="L312" s="652"/>
      <c r="M312" s="652"/>
      <c r="N312" s="652"/>
      <c r="O312" s="652"/>
      <c r="P312" s="652"/>
      <c r="Q312" s="652"/>
      <c r="R312" s="652"/>
      <c r="S312" s="652"/>
      <c r="T312" s="652"/>
      <c r="U312" s="652"/>
      <c r="V312" s="652"/>
      <c r="W312" s="652"/>
      <c r="X312" s="652"/>
      <c r="Y312" s="652"/>
      <c r="Z312" s="652"/>
      <c r="AA312" s="652"/>
      <c r="AB312" s="652"/>
      <c r="AH312" s="652"/>
    </row>
    <row r="313" spans="1:34" x14ac:dyDescent="0.2">
      <c r="A313" s="699">
        <v>14</v>
      </c>
      <c r="B313" s="700" t="str">
        <f t="shared" si="7"/>
        <v>Oleg Rõndenkov</v>
      </c>
      <c r="C313" s="701">
        <v>6</v>
      </c>
    </row>
    <row r="314" spans="1:34" x14ac:dyDescent="0.2">
      <c r="A314" s="699">
        <v>15</v>
      </c>
      <c r="B314" s="700" t="str">
        <f t="shared" si="7"/>
        <v>Tarmo Bombe</v>
      </c>
      <c r="C314" s="701">
        <v>4</v>
      </c>
    </row>
    <row r="315" spans="1:34" x14ac:dyDescent="0.2">
      <c r="A315" s="699">
        <v>16</v>
      </c>
      <c r="B315" s="700" t="str">
        <f t="shared" si="7"/>
        <v>Andrei Grintšak</v>
      </c>
      <c r="C315" s="701">
        <v>2</v>
      </c>
    </row>
    <row r="316" spans="1:34" x14ac:dyDescent="0.2">
      <c r="A316" s="699">
        <v>17</v>
      </c>
      <c r="B316" s="700" t="str">
        <f t="shared" si="7"/>
        <v>Urmas Jõeäär</v>
      </c>
      <c r="C316" s="701">
        <v>1</v>
      </c>
    </row>
    <row r="317" spans="1:34" x14ac:dyDescent="0.2">
      <c r="A317" s="699">
        <v>18</v>
      </c>
      <c r="B317" s="700" t="str">
        <f t="shared" si="7"/>
        <v>Vello Vasser</v>
      </c>
      <c r="C317" s="701">
        <v>1</v>
      </c>
    </row>
    <row r="318" spans="1:34" x14ac:dyDescent="0.2">
      <c r="A318" s="699">
        <v>19</v>
      </c>
      <c r="B318" s="700" t="str">
        <f t="shared" si="7"/>
        <v>Urmas Randlaine</v>
      </c>
      <c r="C318" s="701">
        <v>1</v>
      </c>
    </row>
    <row r="319" spans="1:34" x14ac:dyDescent="0.2">
      <c r="A319" s="699">
        <v>20</v>
      </c>
      <c r="B319" s="700" t="str">
        <f t="shared" si="7"/>
        <v>Lemmit Toomra</v>
      </c>
      <c r="C319" s="701">
        <f t="shared" ref="C319" si="8">IF(21-A319&gt;0,IF(OR(A319=A320,A318=A319),21-A319-0.5,21-A319),1)</f>
        <v>1</v>
      </c>
    </row>
    <row r="320" spans="1:34" x14ac:dyDescent="0.2">
      <c r="A320" s="699">
        <v>21</v>
      </c>
      <c r="B320" s="700" t="str">
        <f t="shared" si="7"/>
        <v>Tõnu Piik</v>
      </c>
      <c r="C320" s="701">
        <f>IF(21-A320&gt;0,IF(OR(A320=A321,A319=A320),21-A320-0.5,21-A320),1)</f>
        <v>1</v>
      </c>
    </row>
    <row r="321" spans="1:3" x14ac:dyDescent="0.2">
      <c r="A321" s="699">
        <v>22</v>
      </c>
      <c r="B321" s="700" t="str">
        <f t="shared" si="7"/>
        <v>Kaspar Mänd</v>
      </c>
      <c r="C321" s="701">
        <f>IF(21-A321&gt;0,IF(OR(A321=A322,A320=A321),21-A321-0.5,21-A321),1)</f>
        <v>1</v>
      </c>
    </row>
    <row r="322" spans="1:3" x14ac:dyDescent="0.2">
      <c r="A322" s="699">
        <v>23</v>
      </c>
      <c r="B322" s="700" t="str">
        <f t="shared" si="7"/>
        <v>Enn Tokman</v>
      </c>
      <c r="C322" s="701">
        <f>IF(21-A322&gt;0,IF(OR(A322=A323,A321=A322),21-A322-0.5,21-A322),1)</f>
        <v>1</v>
      </c>
    </row>
    <row r="323" spans="1:3" x14ac:dyDescent="0.2">
      <c r="A323" s="699">
        <v>24</v>
      </c>
      <c r="B323" s="700" t="str">
        <f t="shared" si="7"/>
        <v>Aarne Välja</v>
      </c>
      <c r="C323" s="701">
        <f>IF(21-A323&gt;0,IF(OR(A323=A324,A322=A323),21-A323-0.5,21-A323),1)</f>
        <v>1</v>
      </c>
    </row>
  </sheetData>
  <conditionalFormatting sqref="A300:A323">
    <cfRule type="duplicateValues" dxfId="611" priority="42"/>
  </conditionalFormatting>
  <conditionalFormatting sqref="B300:B323">
    <cfRule type="expression" dxfId="610" priority="37">
      <formula>A300=3</formula>
    </cfRule>
    <cfRule type="expression" dxfId="609" priority="38">
      <formula>A300=2</formula>
    </cfRule>
    <cfRule type="expression" dxfId="608" priority="39">
      <formula>A300=1</formula>
    </cfRule>
    <cfRule type="containsBlanks" dxfId="607" priority="40">
      <formula>LEN(TRIM(B300))=0</formula>
    </cfRule>
    <cfRule type="duplicateValues" dxfId="606" priority="41"/>
  </conditionalFormatting>
  <conditionalFormatting sqref="A8:A31">
    <cfRule type="duplicateValues" dxfId="605" priority="36"/>
  </conditionalFormatting>
  <conditionalFormatting sqref="C8:C31">
    <cfRule type="expression" dxfId="604" priority="18">
      <formula>IF($C8&gt;$E8,TRUE)</formula>
    </cfRule>
  </conditionalFormatting>
  <conditionalFormatting sqref="E8:E31">
    <cfRule type="expression" dxfId="603" priority="19">
      <formula>IF($C8&lt;$E8,TRUE)</formula>
    </cfRule>
  </conditionalFormatting>
  <conditionalFormatting sqref="K8:K31">
    <cfRule type="expression" dxfId="602" priority="26">
      <formula>IF($K8&gt;$M8,TRUE)</formula>
    </cfRule>
  </conditionalFormatting>
  <conditionalFormatting sqref="M8:M31">
    <cfRule type="expression" dxfId="601" priority="27">
      <formula>IF($K8&lt;$M8,TRUE)</formula>
    </cfRule>
  </conditionalFormatting>
  <conditionalFormatting sqref="O8:O31">
    <cfRule type="expression" dxfId="600" priority="30">
      <formula>IF($O8&gt;$Q8,TRUE)</formula>
    </cfRule>
  </conditionalFormatting>
  <conditionalFormatting sqref="Q8:Q31">
    <cfRule type="expression" dxfId="599" priority="31">
      <formula>IF($O8&lt;$Q8,TRUE)</formula>
    </cfRule>
  </conditionalFormatting>
  <conditionalFormatting sqref="S8:S31">
    <cfRule type="expression" dxfId="598" priority="34">
      <formula>IF($S8&gt;$U8,TRUE)</formula>
    </cfRule>
  </conditionalFormatting>
  <conditionalFormatting sqref="U8:U31">
    <cfRule type="expression" dxfId="597" priority="35">
      <formula>IF($S8&lt;$U8,TRUE)</formula>
    </cfRule>
  </conditionalFormatting>
  <conditionalFormatting sqref="G8:G31">
    <cfRule type="expression" dxfId="596" priority="22">
      <formula>IF($G8&gt;$I8,TRUE)</formula>
    </cfRule>
  </conditionalFormatting>
  <conditionalFormatting sqref="I8:I31">
    <cfRule type="expression" dxfId="595" priority="23">
      <formula>IF($G8&lt;$I8,TRUE)</formula>
    </cfRule>
  </conditionalFormatting>
  <conditionalFormatting sqref="F8:F31">
    <cfRule type="containsText" dxfId="594" priority="9" operator="containsText" text="vaba voor">
      <formula>NOT(ISERROR(SEARCH("vaba voor",F8)))</formula>
    </cfRule>
  </conditionalFormatting>
  <conditionalFormatting sqref="N8:N31">
    <cfRule type="containsText" dxfId="593" priority="7" operator="containsText" text="vaba voor">
      <formula>NOT(ISERROR(SEARCH("vaba voor",N8)))</formula>
    </cfRule>
  </conditionalFormatting>
  <conditionalFormatting sqref="R8:R31">
    <cfRule type="containsText" dxfId="592" priority="10" operator="containsText" text="vaba voor">
      <formula>NOT(ISERROR(SEARCH("vaba voor",R8)))</formula>
    </cfRule>
  </conditionalFormatting>
  <conditionalFormatting sqref="V8:V31">
    <cfRule type="containsText" dxfId="591" priority="6" operator="containsText" text="vaba voor">
      <formula>NOT(ISERROR(SEARCH("vaba voor",V8)))</formula>
    </cfRule>
  </conditionalFormatting>
  <conditionalFormatting sqref="J8:J31">
    <cfRule type="containsText" dxfId="590" priority="8" operator="containsText" text="vaba voor">
      <formula>NOT(ISERROR(SEARCH("vaba voor",J8)))</formula>
    </cfRule>
  </conditionalFormatting>
  <conditionalFormatting sqref="C8:F31">
    <cfRule type="expression" dxfId="589" priority="14">
      <formula>IF(AND(ISNUMBER($C8),$C8=$E8),TRUE)</formula>
    </cfRule>
    <cfRule type="expression" dxfId="588" priority="16">
      <formula>IF($C8&gt;$E8,TRUE)</formula>
    </cfRule>
    <cfRule type="expression" dxfId="587" priority="17">
      <formula>IF($C8&lt;$E8,TRUE)</formula>
    </cfRule>
  </conditionalFormatting>
  <conditionalFormatting sqref="G8:J31">
    <cfRule type="expression" dxfId="586" priority="15">
      <formula>IF(AND(ISNUMBER($G8),$G8=$I8),TRUE)</formula>
    </cfRule>
    <cfRule type="expression" dxfId="585" priority="20">
      <formula>IF($G8&gt;$I8,TRUE)</formula>
    </cfRule>
    <cfRule type="expression" dxfId="584" priority="21">
      <formula>IF($G8&lt;$I8,TRUE)</formula>
    </cfRule>
  </conditionalFormatting>
  <conditionalFormatting sqref="K8:N31">
    <cfRule type="expression" dxfId="583" priority="13">
      <formula>IF(AND(ISNUMBER($K8),$K8=$M8),TRUE)</formula>
    </cfRule>
    <cfRule type="expression" dxfId="582" priority="24">
      <formula>IF($K8&gt;$M8,TRUE)</formula>
    </cfRule>
    <cfRule type="expression" dxfId="581" priority="25">
      <formula>IF($K8&lt;$M8,TRUE)</formula>
    </cfRule>
  </conditionalFormatting>
  <conditionalFormatting sqref="O8:R31">
    <cfRule type="expression" dxfId="580" priority="12">
      <formula>IF(AND(ISNUMBER($O8),$O8=$Q8),TRUE)</formula>
    </cfRule>
    <cfRule type="expression" dxfId="579" priority="28">
      <formula>IF($O8&gt;$Q8,TRUE)</formula>
    </cfRule>
    <cfRule type="expression" dxfId="578" priority="29">
      <formula>IF($O8&lt;$Q8,TRUE)</formula>
    </cfRule>
  </conditionalFormatting>
  <conditionalFormatting sqref="S8:V31">
    <cfRule type="expression" dxfId="577" priority="11">
      <formula>IF(AND(ISNUMBER($S8),$S8=$U8),TRUE)</formula>
    </cfRule>
    <cfRule type="expression" dxfId="576" priority="32">
      <formula>IF($S8&gt;$U8,TRUE)</formula>
    </cfRule>
    <cfRule type="expression" dxfId="575" priority="33">
      <formula>IF($S8&lt;$U8,TRUE)</formula>
    </cfRule>
  </conditionalFormatting>
  <conditionalFormatting sqref="C8:C31 G8:G31 K8:K31 O8:O31 S8:S31">
    <cfRule type="expression" dxfId="574" priority="5">
      <formula>AND(C8=0,E8=13)</formula>
    </cfRule>
  </conditionalFormatting>
  <conditionalFormatting sqref="AE7:AE31">
    <cfRule type="expression" dxfId="573" priority="1">
      <formula>AND(AF7="",COUNTIF(AE7,"*,*")=0)</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126"/>
  <sheetViews>
    <sheetView showGridLines="0" showRowColHeaders="0" tabSelected="1" zoomScaleNormal="100" workbookViewId="0">
      <pane ySplit="3" topLeftCell="A4" activePane="bottomLeft" state="frozen"/>
      <selection pane="bottomLeft" activeCell="N1" sqref="N1"/>
    </sheetView>
  </sheetViews>
  <sheetFormatPr defaultRowHeight="12.75" x14ac:dyDescent="0.2"/>
  <cols>
    <col min="1" max="1" width="4.140625" customWidth="1"/>
    <col min="2" max="2" width="3" customWidth="1"/>
    <col min="3" max="3" width="7.28515625" customWidth="1"/>
    <col min="4" max="4" width="3" customWidth="1"/>
    <col min="5" max="5" width="10.42578125" customWidth="1"/>
    <col min="6" max="6" width="3" customWidth="1"/>
    <col min="7" max="7" width="15.28515625" customWidth="1"/>
    <col min="8" max="8" width="3" customWidth="1"/>
    <col min="9" max="9" width="1.7109375" customWidth="1"/>
    <col min="10" max="10" width="3" customWidth="1"/>
    <col min="11" max="11" width="19.7109375" customWidth="1"/>
    <col min="12" max="12" width="3" customWidth="1"/>
    <col min="13" max="13" width="19.42578125" customWidth="1"/>
    <col min="14" max="14" width="3" customWidth="1"/>
    <col min="15" max="15" width="0.85546875" customWidth="1"/>
    <col min="16" max="16" width="3" hidden="1" customWidth="1"/>
    <col min="17" max="17" width="0" hidden="1" customWidth="1"/>
    <col min="18" max="18" width="3" hidden="1" customWidth="1"/>
  </cols>
  <sheetData>
    <row r="1" spans="1:19" x14ac:dyDescent="0.2">
      <c r="A1" s="68"/>
      <c r="B1" s="69" t="s">
        <v>101</v>
      </c>
      <c r="C1" s="68"/>
      <c r="D1" s="70"/>
      <c r="E1" s="69"/>
      <c r="F1" s="69"/>
      <c r="G1" s="70"/>
      <c r="H1" s="70"/>
      <c r="I1" s="70"/>
      <c r="J1" s="71" t="str">
        <f>HYPERLINK("","")</f>
        <v/>
      </c>
      <c r="K1" s="7"/>
      <c r="L1" s="5" t="s">
        <v>579</v>
      </c>
      <c r="M1" s="68"/>
      <c r="N1" s="8"/>
      <c r="O1" s="7"/>
      <c r="P1" s="68"/>
      <c r="Q1" s="68"/>
      <c r="R1" s="68"/>
      <c r="S1" s="68"/>
    </row>
    <row r="2" spans="1:19" ht="13.5" thickBot="1" x14ac:dyDescent="0.25">
      <c r="A2" s="70"/>
      <c r="B2" s="70"/>
      <c r="C2" s="70"/>
      <c r="D2" s="70"/>
      <c r="E2" s="70"/>
      <c r="F2" s="70"/>
      <c r="G2" s="70"/>
      <c r="H2" s="70"/>
      <c r="I2" s="70"/>
      <c r="J2" s="70"/>
      <c r="K2" s="7"/>
      <c r="L2" s="8"/>
      <c r="M2" s="8"/>
      <c r="N2" s="72"/>
      <c r="O2" s="68"/>
      <c r="P2" s="68"/>
      <c r="Q2" s="68"/>
      <c r="R2" s="68"/>
      <c r="S2" s="68"/>
    </row>
    <row r="3" spans="1:19" ht="13.5" thickBot="1" x14ac:dyDescent="0.25">
      <c r="A3" s="73" t="s">
        <v>102</v>
      </c>
      <c r="B3" s="74"/>
      <c r="C3" s="73" t="s">
        <v>103</v>
      </c>
      <c r="D3" s="74"/>
      <c r="E3" s="73" t="s">
        <v>104</v>
      </c>
      <c r="F3" s="74"/>
      <c r="G3" s="73" t="s">
        <v>105</v>
      </c>
      <c r="H3" s="74"/>
      <c r="I3" s="73" t="s">
        <v>106</v>
      </c>
      <c r="J3" s="74"/>
      <c r="K3" s="73" t="s">
        <v>107</v>
      </c>
      <c r="L3" s="74"/>
      <c r="M3" s="73" t="s">
        <v>108</v>
      </c>
      <c r="N3" s="75"/>
      <c r="O3" s="68"/>
      <c r="P3" s="68"/>
      <c r="Q3" s="68"/>
      <c r="R3" s="68"/>
      <c r="S3" s="68"/>
    </row>
    <row r="4" spans="1:19" x14ac:dyDescent="0.2">
      <c r="A4" s="76" t="s">
        <v>109</v>
      </c>
      <c r="B4" s="77"/>
      <c r="C4" s="78"/>
      <c r="D4" s="79"/>
      <c r="E4" s="79"/>
      <c r="F4" s="79"/>
      <c r="G4" s="79"/>
      <c r="H4" s="79"/>
      <c r="I4" s="79"/>
      <c r="J4" s="79"/>
      <c r="K4" s="198" t="str">
        <f>HYPERLINK("http://www.petanque.ee/index.php?id=103778&amp;cid=647","15. Tartu Vaim")</f>
        <v>15. Tartu Vaim</v>
      </c>
      <c r="L4" s="80">
        <v>27</v>
      </c>
      <c r="M4" s="81"/>
      <c r="N4" s="82">
        <v>28</v>
      </c>
      <c r="O4" s="68"/>
      <c r="P4" s="68"/>
      <c r="Q4" s="68"/>
      <c r="R4" s="68"/>
      <c r="S4" s="68"/>
    </row>
    <row r="5" spans="1:19" x14ac:dyDescent="0.2">
      <c r="A5" s="79"/>
      <c r="B5" s="79"/>
      <c r="C5" s="79"/>
      <c r="D5" s="79"/>
      <c r="E5" s="79"/>
      <c r="F5" s="79"/>
      <c r="G5" s="79"/>
      <c r="H5" s="79"/>
      <c r="I5" s="79"/>
      <c r="J5" s="79"/>
      <c r="K5" s="101" t="s">
        <v>110</v>
      </c>
      <c r="L5" s="83" t="str">
        <f>HYPERLINK("http://turna.ee/swiss.php?tid=194","tul")</f>
        <v>tul</v>
      </c>
      <c r="M5" s="84"/>
      <c r="N5" s="85"/>
      <c r="O5" s="68"/>
      <c r="P5" s="68"/>
      <c r="Q5" s="68"/>
      <c r="R5" s="68"/>
      <c r="S5" s="68"/>
    </row>
    <row r="6" spans="1:19" ht="13.5" thickBot="1" x14ac:dyDescent="0.25">
      <c r="A6" s="76" t="s">
        <v>10</v>
      </c>
      <c r="B6" s="77"/>
      <c r="C6" s="78"/>
      <c r="D6" s="86"/>
      <c r="E6" s="87"/>
      <c r="F6" s="87"/>
      <c r="G6" s="87"/>
      <c r="H6" s="87"/>
      <c r="I6" s="88"/>
      <c r="J6" s="88"/>
      <c r="K6" s="1055" t="str">
        <f>HYPERLINK("http://kaart.delfi.ee/?bookmark=d9da63566809feae32e6ca75683e42cd","Tartu, Lossi 25")</f>
        <v>Tartu, Lossi 25</v>
      </c>
      <c r="L6" s="89" t="str">
        <f>HYPERLINK("https://sites.google.com/site/tartupetank/juhendid/petangiturniir-tartu-vaim-juhend","juh")</f>
        <v>juh</v>
      </c>
      <c r="M6" s="90"/>
      <c r="N6" s="91"/>
      <c r="O6" s="68"/>
      <c r="P6" s="92"/>
      <c r="Q6" s="68"/>
      <c r="R6" s="68"/>
      <c r="S6" s="92"/>
    </row>
    <row r="7" spans="1:19" ht="13.5" thickTop="1" x14ac:dyDescent="0.2">
      <c r="A7" s="93"/>
      <c r="B7" s="94">
        <v>29</v>
      </c>
      <c r="C7" s="81"/>
      <c r="D7" s="95">
        <v>30</v>
      </c>
      <c r="E7" s="1031" t="str">
        <f>HYPERLINK("#A!N1","Välishooaja")</f>
        <v>Välishooaja</v>
      </c>
      <c r="F7" s="96">
        <v>1</v>
      </c>
      <c r="G7" s="97"/>
      <c r="H7" s="98">
        <v>2</v>
      </c>
      <c r="I7" s="99"/>
      <c r="J7" s="100">
        <v>3</v>
      </c>
      <c r="K7" s="101"/>
      <c r="L7" s="100">
        <v>4</v>
      </c>
      <c r="M7" s="1105" t="str">
        <f>HYPERLINK("#1!G1","K-Järve 18. KV")</f>
        <v>K-Järve 18. KV</v>
      </c>
      <c r="N7" s="102">
        <v>5</v>
      </c>
      <c r="O7" s="68"/>
      <c r="P7" s="92"/>
      <c r="Q7" s="68"/>
      <c r="R7" s="68"/>
      <c r="S7" s="92"/>
    </row>
    <row r="8" spans="1:19" x14ac:dyDescent="0.2">
      <c r="A8" s="99"/>
      <c r="B8" s="103"/>
      <c r="C8" s="104" t="s">
        <v>111</v>
      </c>
      <c r="D8" s="105"/>
      <c r="E8" s="1032" t="s">
        <v>112</v>
      </c>
      <c r="F8" s="106"/>
      <c r="G8" s="107"/>
      <c r="H8" s="79"/>
      <c r="I8" s="101"/>
      <c r="J8" s="79"/>
      <c r="K8" s="104" t="s">
        <v>113</v>
      </c>
      <c r="L8" s="108"/>
      <c r="M8" s="1049" t="s">
        <v>114</v>
      </c>
      <c r="N8" s="109"/>
      <c r="O8" s="7"/>
      <c r="P8" s="110"/>
      <c r="Q8" s="68"/>
      <c r="R8" s="68"/>
      <c r="S8" s="92"/>
    </row>
    <row r="9" spans="1:19" x14ac:dyDescent="0.2">
      <c r="A9" s="99"/>
      <c r="B9" s="103"/>
      <c r="C9" s="111" t="s">
        <v>115</v>
      </c>
      <c r="D9" s="105"/>
      <c r="E9" s="1033" t="s">
        <v>116</v>
      </c>
      <c r="F9" s="106"/>
      <c r="G9" s="112"/>
      <c r="H9" s="108"/>
      <c r="I9" s="101"/>
      <c r="J9" s="79"/>
      <c r="K9" s="101"/>
      <c r="L9" s="108"/>
      <c r="M9" s="1048" t="str">
        <f>HYPERLINK("https://kaart.delfi.ee/?bookmark=521b80d6ceeefbe3e5d227267242b576","K-Järve")</f>
        <v>K-Järve</v>
      </c>
      <c r="N9" s="109"/>
      <c r="O9" s="7"/>
      <c r="P9" s="110"/>
      <c r="Q9" s="68"/>
      <c r="R9" s="68"/>
      <c r="S9" s="92"/>
    </row>
    <row r="10" spans="1:19" ht="13.5" thickBot="1" x14ac:dyDescent="0.25">
      <c r="A10" s="113"/>
      <c r="B10" s="114"/>
      <c r="C10" s="115"/>
      <c r="D10" s="116"/>
      <c r="E10" s="1034" t="str">
        <f>HYPERLINK("https://kaart.delfi.ee//?bookmark=ebd616e171f4882941c876d5ba118858","Voka")</f>
        <v>Voka</v>
      </c>
      <c r="F10" s="117"/>
      <c r="G10" s="118" t="s">
        <v>117</v>
      </c>
      <c r="H10" s="119"/>
      <c r="I10" s="120"/>
      <c r="J10" s="120"/>
      <c r="K10" s="121"/>
      <c r="L10" s="120"/>
      <c r="M10" s="120"/>
      <c r="N10" s="122" t="str">
        <f>HYPERLINK("https://www.google.co.uk/maps/@36.701581,-2.8058041,15z","El Ejido, Almería (Hispaania)")</f>
        <v>El Ejido, Almería (Hispaania)</v>
      </c>
      <c r="O10" s="123"/>
      <c r="P10" s="110"/>
      <c r="Q10" s="7"/>
      <c r="R10" s="110"/>
      <c r="S10" s="110"/>
    </row>
    <row r="11" spans="1:19" x14ac:dyDescent="0.2">
      <c r="A11" s="124"/>
      <c r="B11" s="80">
        <v>6</v>
      </c>
      <c r="C11" s="124"/>
      <c r="D11" s="80">
        <v>7</v>
      </c>
      <c r="E11" s="1035" t="str">
        <f>HYPERLINK("#V1!G1","Voka 6. KV")</f>
        <v>Voka 6. KV</v>
      </c>
      <c r="F11" s="82">
        <v>8</v>
      </c>
      <c r="G11" s="124"/>
      <c r="H11" s="80">
        <v>9</v>
      </c>
      <c r="I11" s="124"/>
      <c r="J11" s="80">
        <v>10</v>
      </c>
      <c r="K11" s="1056" t="str">
        <f>HYPERLINK("https://www.petanque.ee/index.php?id=103785&amp;cid=654","15. Klubide karikas")</f>
        <v>15. Klubide karikas</v>
      </c>
      <c r="L11" s="80">
        <v>11</v>
      </c>
      <c r="M11" s="1056" t="str">
        <f>HYPERLINK("https://www.petanque.ee/index.php?id=103785&amp;cid=655","15. Klubide karikas")</f>
        <v>15. Klubide karikas</v>
      </c>
      <c r="N11" s="125">
        <v>12</v>
      </c>
      <c r="O11" s="68"/>
      <c r="P11" s="92"/>
      <c r="Q11" s="68"/>
      <c r="R11" s="110"/>
      <c r="S11" s="92"/>
    </row>
    <row r="12" spans="1:19" x14ac:dyDescent="0.2">
      <c r="A12" s="124"/>
      <c r="B12" s="79"/>
      <c r="C12" s="124"/>
      <c r="D12" s="79"/>
      <c r="E12" s="1036" t="s">
        <v>118</v>
      </c>
      <c r="F12" s="126"/>
      <c r="G12" s="124"/>
      <c r="H12" s="79"/>
      <c r="I12" s="104" t="s">
        <v>119</v>
      </c>
      <c r="J12" s="79"/>
      <c r="K12" s="1057" t="s">
        <v>120</v>
      </c>
      <c r="L12" s="86"/>
      <c r="M12" s="1057" t="s">
        <v>120</v>
      </c>
      <c r="N12" s="85"/>
      <c r="O12" s="68"/>
      <c r="P12" s="92"/>
      <c r="Q12" s="68"/>
      <c r="R12" s="110"/>
      <c r="S12" s="92"/>
    </row>
    <row r="13" spans="1:19" ht="13.5" thickBot="1" x14ac:dyDescent="0.25">
      <c r="A13" s="127"/>
      <c r="B13" s="128"/>
      <c r="C13" s="127"/>
      <c r="D13" s="128"/>
      <c r="E13" s="1037" t="str">
        <f>HYPERLINK("https://kaart.delfi.ee//?bookmark=ebd616e171f4882941c876d5ba118858","Voka")</f>
        <v>Voka</v>
      </c>
      <c r="F13" s="129"/>
      <c r="G13" s="127"/>
      <c r="H13" s="128"/>
      <c r="I13" s="130" t="s">
        <v>121</v>
      </c>
      <c r="J13" s="128"/>
      <c r="K13" s="1058" t="str">
        <f>HYPERLINK("http://kaart.delfi.ee//?bookmark=ebd616e171f4882941c876d5ba118858","Voka staadion")</f>
        <v>Voka staadion</v>
      </c>
      <c r="L13" s="131" t="str">
        <f>HYPERLINK("https://www.petanque.ee/juhendid/klubide-karikas-2019/","juh")</f>
        <v>juh</v>
      </c>
      <c r="M13" s="1058" t="str">
        <f>HYPERLINK("http://kaart.delfi.ee//?bookmark=ebd616e171f4882941c876d5ba118858","Voka staadion")</f>
        <v>Voka staadion</v>
      </c>
      <c r="N13" s="132"/>
      <c r="O13" s="68"/>
      <c r="P13" s="68"/>
      <c r="Q13" s="68"/>
      <c r="R13" s="110"/>
      <c r="S13" s="68"/>
    </row>
    <row r="14" spans="1:19" x14ac:dyDescent="0.2">
      <c r="A14" s="124"/>
      <c r="B14" s="80">
        <v>13</v>
      </c>
      <c r="C14" s="124"/>
      <c r="D14" s="80">
        <v>14</v>
      </c>
      <c r="E14" s="124"/>
      <c r="F14" s="80">
        <v>15</v>
      </c>
      <c r="G14" s="1048" t="str">
        <f>HYPERLINK("#2!G1","K-Järve 18. KV")</f>
        <v>K-Järve 18. KV</v>
      </c>
      <c r="H14" s="80">
        <v>16</v>
      </c>
      <c r="I14" s="124"/>
      <c r="J14" s="80">
        <v>17</v>
      </c>
      <c r="K14" s="133" t="s">
        <v>122</v>
      </c>
      <c r="L14" s="80">
        <v>18</v>
      </c>
      <c r="M14" s="1081" t="str">
        <f>HYPERLINK("#3!G1","Viru SK lahtised MV")</f>
        <v>Viru SK lahtised MV</v>
      </c>
      <c r="N14" s="125">
        <v>19</v>
      </c>
      <c r="O14" s="68"/>
      <c r="P14" s="92"/>
      <c r="Q14" s="68"/>
      <c r="R14" s="92"/>
      <c r="S14" s="92"/>
    </row>
    <row r="15" spans="1:19" x14ac:dyDescent="0.2">
      <c r="A15" s="124"/>
      <c r="B15" s="79"/>
      <c r="C15" s="124"/>
      <c r="D15" s="79"/>
      <c r="E15" s="124"/>
      <c r="F15" s="79"/>
      <c r="G15" s="1049" t="s">
        <v>123</v>
      </c>
      <c r="H15" s="134"/>
      <c r="I15" s="124"/>
      <c r="J15" s="79"/>
      <c r="K15" s="133" t="s">
        <v>124</v>
      </c>
      <c r="L15" s="135"/>
      <c r="M15" s="1082" t="s">
        <v>125</v>
      </c>
      <c r="N15" s="109"/>
      <c r="O15" s="68"/>
      <c r="P15" s="92"/>
      <c r="Q15" s="92"/>
      <c r="R15" s="92"/>
      <c r="S15" s="92"/>
    </row>
    <row r="16" spans="1:19" x14ac:dyDescent="0.2">
      <c r="A16" s="124"/>
      <c r="B16" s="86"/>
      <c r="C16" s="124"/>
      <c r="D16" s="86"/>
      <c r="E16" s="124"/>
      <c r="F16" s="86"/>
      <c r="G16" s="1048" t="str">
        <f>HYPERLINK("https://kaart.delfi.ee/?bookmark=521b80d6ceeefbe3e5d227267242b576","K-Järve")</f>
        <v>K-Järve</v>
      </c>
      <c r="H16" s="134"/>
      <c r="I16" s="124"/>
      <c r="J16" s="86"/>
      <c r="K16" s="133" t="s">
        <v>126</v>
      </c>
      <c r="L16" s="71" t="str">
        <f>HYPERLINK("https://www.facebook.com/lietuvospetanke/photos/a.474083436673262/474088816672724/","fot")</f>
        <v>fot</v>
      </c>
      <c r="M16" s="1083" t="str">
        <f>HYPERLINK("https://kaart.delfi.ee//?bookmark=ebd616e171f4882941c876d5ba118858","Voka")</f>
        <v>Voka</v>
      </c>
      <c r="N16" s="136"/>
      <c r="O16" s="68"/>
      <c r="P16" s="92"/>
      <c r="S16" s="92"/>
    </row>
    <row r="17" spans="1:19" x14ac:dyDescent="0.2">
      <c r="A17" s="124"/>
      <c r="B17" s="86"/>
      <c r="C17" s="124"/>
      <c r="D17" s="86"/>
      <c r="E17" s="124"/>
      <c r="F17" s="86"/>
      <c r="G17" s="137"/>
      <c r="H17" s="138"/>
      <c r="I17" s="124"/>
      <c r="J17" s="86"/>
      <c r="K17" s="139" t="str">
        <f>HYPERLINK("https://www.petanque.ee/index.php?id=103785&amp;cid=656","Meeste EM ja naiste MM ")</f>
        <v xml:space="preserve">Meeste EM ja naiste MM </v>
      </c>
      <c r="L17" s="140"/>
      <c r="M17" s="139" t="str">
        <f>HYPERLINK("https://www.petanque.ee/index.php?id=103785&amp;cid=656","Meeste EM ja naiste MM ")</f>
        <v xml:space="preserve">Meeste EM ja naiste MM </v>
      </c>
      <c r="N17" s="141"/>
      <c r="O17" s="68"/>
      <c r="P17" s="92"/>
      <c r="S17" s="92"/>
    </row>
    <row r="18" spans="1:19" x14ac:dyDescent="0.2">
      <c r="A18" s="124"/>
      <c r="B18" s="86"/>
      <c r="C18" s="124"/>
      <c r="D18" s="86"/>
      <c r="E18" s="124"/>
      <c r="F18" s="86"/>
      <c r="G18" s="137"/>
      <c r="H18" s="138"/>
      <c r="I18" s="124"/>
      <c r="J18" s="86"/>
      <c r="K18" s="142" t="s">
        <v>127</v>
      </c>
      <c r="L18" s="86"/>
      <c r="M18" s="142" t="s">
        <v>127</v>
      </c>
      <c r="N18" s="85"/>
      <c r="O18" s="68"/>
      <c r="P18" s="92"/>
      <c r="S18" s="92"/>
    </row>
    <row r="19" spans="1:19" ht="13.5" thickBot="1" x14ac:dyDescent="0.25">
      <c r="A19" s="127"/>
      <c r="B19" s="143"/>
      <c r="C19" s="127"/>
      <c r="D19" s="143"/>
      <c r="E19" s="127"/>
      <c r="F19" s="143"/>
      <c r="G19" s="144"/>
      <c r="H19" s="145"/>
      <c r="I19" s="127"/>
      <c r="J19" s="143"/>
      <c r="K19" s="1104" t="str">
        <f>HYPERLINK("https://kaart.delfi.ee/?bookmark=78de0fb2613cdaa764ec35efb54e0b69","Saku, Teaduse 2")</f>
        <v>Saku, Teaduse 2</v>
      </c>
      <c r="L19" s="143"/>
      <c r="M19" s="1104" t="str">
        <f>HYPERLINK("https://kaart.delfi.ee/?bookmark=78de0fb2613cdaa764ec35efb54e0b69","Saku, Teaduse 2")</f>
        <v>Saku, Teaduse 2</v>
      </c>
      <c r="N19" s="132"/>
      <c r="O19" s="68"/>
      <c r="P19" s="92"/>
      <c r="S19" s="92"/>
    </row>
    <row r="20" spans="1:19" x14ac:dyDescent="0.2">
      <c r="A20" s="147"/>
      <c r="B20" s="98">
        <v>20</v>
      </c>
      <c r="C20" s="147"/>
      <c r="D20" s="98">
        <v>21</v>
      </c>
      <c r="E20" s="1038" t="str">
        <f>HYPERLINK("#V2!G1","Voka 6. KV")</f>
        <v>Voka 6. KV</v>
      </c>
      <c r="F20" s="98">
        <v>22</v>
      </c>
      <c r="G20" s="81"/>
      <c r="H20" s="98">
        <v>23</v>
      </c>
      <c r="I20" s="148"/>
      <c r="J20" s="98">
        <v>24</v>
      </c>
      <c r="K20" s="188" t="str">
        <f>HYPERLINK("https://www.petanque.ee/index.php?id=103785&amp;cid=658","1. Eesti MV 55+,")</f>
        <v>1. Eesti MV 55+,</v>
      </c>
      <c r="L20" s="98">
        <v>25</v>
      </c>
      <c r="M20" s="1084" t="str">
        <f>HYPERLINK("https://webzone.ee/petankt/tabelid/esl-2019.xlsx","16. ESL individ-võistk")</f>
        <v>16. ESL individ-võistk</v>
      </c>
      <c r="N20" s="149">
        <v>26</v>
      </c>
      <c r="O20" s="68"/>
      <c r="P20" s="92"/>
      <c r="S20" s="92"/>
    </row>
    <row r="21" spans="1:19" x14ac:dyDescent="0.2">
      <c r="A21" s="124"/>
      <c r="B21" s="79"/>
      <c r="C21" s="124"/>
      <c r="D21" s="79"/>
      <c r="E21" s="1039" t="s">
        <v>123</v>
      </c>
      <c r="F21" s="150"/>
      <c r="G21" s="104" t="s">
        <v>128</v>
      </c>
      <c r="H21" s="86"/>
      <c r="I21" s="84"/>
      <c r="J21" s="79"/>
      <c r="K21" s="1059" t="s">
        <v>129</v>
      </c>
      <c r="L21" s="83" t="str">
        <f>HYPERLINK("https://www.petanque.ee/index.php?id=&amp;news_id=1236","inf")</f>
        <v>inf</v>
      </c>
      <c r="M21" s="124" t="s">
        <v>130</v>
      </c>
      <c r="N21" s="83" t="str">
        <f>HYPERLINK("https://webzone.ee/petank/index-esl.html","inf")</f>
        <v>inf</v>
      </c>
      <c r="O21" s="68"/>
      <c r="P21" s="92"/>
      <c r="S21" s="92"/>
    </row>
    <row r="22" spans="1:19" x14ac:dyDescent="0.2">
      <c r="A22" s="124"/>
      <c r="B22" s="79"/>
      <c r="C22" s="124"/>
      <c r="D22" s="79"/>
      <c r="E22" s="153" t="str">
        <f>HYPERLINK("https://kaart.delfi.ee//?bookmark=ebd616e171f4882941c876d5ba118858","Voka")</f>
        <v>Voka</v>
      </c>
      <c r="F22" s="150"/>
      <c r="G22" s="1050"/>
      <c r="H22" s="86"/>
      <c r="I22" s="84"/>
      <c r="J22" s="79"/>
      <c r="K22" s="1060" t="str">
        <f>HYPERLINK("https://kaart.delfi.ee/?bookmark=521b80d6ceeefbe3e5d227267242b576","K-Järve")</f>
        <v>K-Järve</v>
      </c>
      <c r="L22" s="151" t="str">
        <f>HYPERLINK("https://www.petanque.ee/juhendid/tiitlivoistluste-katsevoistluste-juhend/","juh")</f>
        <v>juh</v>
      </c>
      <c r="M22" s="1085" t="str">
        <f>HYPERLINK("http://kaart.delfi.ee//?bookmark=ebd616e171f4882941c876d5ba118858","Voka staadion")</f>
        <v>Voka staadion</v>
      </c>
      <c r="N22" s="152"/>
      <c r="O22" s="68"/>
      <c r="P22" s="92"/>
      <c r="S22" s="92"/>
    </row>
    <row r="23" spans="1:19" x14ac:dyDescent="0.2">
      <c r="A23" s="124"/>
      <c r="B23" s="86"/>
      <c r="C23" s="124"/>
      <c r="D23" s="79"/>
      <c r="E23" s="153"/>
      <c r="F23" s="154"/>
      <c r="G23" s="124"/>
      <c r="H23" s="155"/>
      <c r="I23" s="124"/>
      <c r="J23" s="86"/>
      <c r="K23" s="1059"/>
      <c r="L23" s="156"/>
      <c r="M23" s="1086" t="str">
        <f>HYPERLINK("https://www.petanque.ee/index.php?id=103785&amp;cid=659","1. Eesti MV 55+,")</f>
        <v>1. Eesti MV 55+,</v>
      </c>
      <c r="N23" s="157"/>
      <c r="O23" s="68"/>
      <c r="P23" s="68"/>
      <c r="Q23" s="68"/>
      <c r="R23" s="68"/>
      <c r="S23" s="92"/>
    </row>
    <row r="24" spans="1:19" x14ac:dyDescent="0.2">
      <c r="A24" s="124"/>
      <c r="B24" s="86"/>
      <c r="C24" s="124"/>
      <c r="D24" s="79"/>
      <c r="E24" s="153"/>
      <c r="F24" s="154"/>
      <c r="G24" s="124"/>
      <c r="H24" s="155"/>
      <c r="I24" s="124"/>
      <c r="J24" s="86"/>
      <c r="K24" s="1059"/>
      <c r="L24" s="156"/>
      <c r="M24" s="124" t="s">
        <v>129</v>
      </c>
      <c r="N24" s="158"/>
      <c r="O24" s="68"/>
      <c r="P24" s="68"/>
      <c r="Q24" s="68"/>
      <c r="R24" s="68"/>
      <c r="S24" s="92"/>
    </row>
    <row r="25" spans="1:19" ht="13.5" thickBot="1" x14ac:dyDescent="0.25">
      <c r="A25" s="127"/>
      <c r="B25" s="143"/>
      <c r="C25" s="127"/>
      <c r="D25" s="128"/>
      <c r="E25" s="159"/>
      <c r="F25" s="160"/>
      <c r="G25" s="127"/>
      <c r="H25" s="161"/>
      <c r="I25" s="127"/>
      <c r="J25" s="143"/>
      <c r="K25" s="1061"/>
      <c r="L25" s="162"/>
      <c r="M25" s="1087" t="str">
        <f>HYPERLINK("https://kaart.delfi.ee/?bookmark=521b80d6ceeefbe3e5d227267242b576","K-Järve")</f>
        <v>K-Järve</v>
      </c>
      <c r="N25" s="163"/>
      <c r="O25" s="68"/>
      <c r="P25" s="7"/>
      <c r="Q25" s="68"/>
      <c r="R25" s="68"/>
      <c r="S25" s="92"/>
    </row>
    <row r="26" spans="1:19" ht="13.5" thickBot="1" x14ac:dyDescent="0.25">
      <c r="A26" s="124"/>
      <c r="B26" s="80">
        <v>27</v>
      </c>
      <c r="C26" s="124"/>
      <c r="D26" s="80">
        <v>28</v>
      </c>
      <c r="E26" s="124"/>
      <c r="F26" s="80">
        <v>29</v>
      </c>
      <c r="G26" s="164" t="s">
        <v>131</v>
      </c>
      <c r="H26" s="94">
        <v>30</v>
      </c>
      <c r="I26" s="124"/>
      <c r="J26" s="165">
        <v>31</v>
      </c>
      <c r="K26" s="68"/>
      <c r="L26" s="68"/>
      <c r="M26" s="68"/>
      <c r="N26" s="68"/>
      <c r="O26" s="68"/>
      <c r="P26" s="7"/>
      <c r="Q26" s="68"/>
      <c r="R26" s="68"/>
      <c r="S26" s="92"/>
    </row>
    <row r="27" spans="1:19" x14ac:dyDescent="0.2">
      <c r="A27" s="124"/>
      <c r="B27" s="86"/>
      <c r="C27" s="124"/>
      <c r="D27" s="79"/>
      <c r="E27" s="124"/>
      <c r="F27" s="79"/>
      <c r="G27" s="166" t="s">
        <v>132</v>
      </c>
      <c r="H27" s="167" t="str">
        <f>HYPERLINK("http://pet.pp.fi/temp/kilpailukutsut/2019/baltique_duppeli_2019.pdf","inf")</f>
        <v>inf</v>
      </c>
      <c r="I27" s="124"/>
      <c r="J27" s="168"/>
      <c r="K27" s="148"/>
      <c r="L27" s="98">
        <v>1</v>
      </c>
      <c r="M27" s="1088" t="str">
        <f>HYPERLINK("#5!G1","Viru SK lahtised MV")</f>
        <v>Viru SK lahtised MV</v>
      </c>
      <c r="N27" s="171">
        <v>2</v>
      </c>
      <c r="O27" s="68"/>
      <c r="P27" s="110"/>
      <c r="Q27" s="92"/>
      <c r="R27" s="92"/>
      <c r="S27" s="92"/>
    </row>
    <row r="28" spans="1:19" ht="13.5" thickBot="1" x14ac:dyDescent="0.25">
      <c r="A28" s="127"/>
      <c r="B28" s="143"/>
      <c r="C28" s="127"/>
      <c r="D28" s="143"/>
      <c r="E28" s="127"/>
      <c r="F28" s="143"/>
      <c r="G28" s="146" t="str">
        <f>HYPERLINK("https://www.google.fi/maps/place/Pohjoinen+Hesperiankatu+24,+00260+Helsinki,+Soome/@60.1769272,24.9181523,17z/data=!4m5!3m4!1s0x46920a3011cda835:0x7443e5f2b27974f2!8m2!3d60.1769272!4d24.920341","Helsingi (Soome)")</f>
        <v>Helsingi (Soome)</v>
      </c>
      <c r="H28" s="169"/>
      <c r="I28" s="127"/>
      <c r="J28" s="170"/>
      <c r="K28" s="1062"/>
      <c r="L28" s="174"/>
      <c r="M28" s="1082" t="s">
        <v>134</v>
      </c>
      <c r="N28" s="175"/>
      <c r="O28" s="68"/>
      <c r="P28" s="110"/>
      <c r="Q28" s="92"/>
      <c r="R28" s="92"/>
      <c r="S28" s="92"/>
    </row>
    <row r="29" spans="1:19" x14ac:dyDescent="0.2">
      <c r="A29" s="76" t="s">
        <v>41</v>
      </c>
      <c r="B29" s="77"/>
      <c r="C29" s="78"/>
      <c r="D29" s="86"/>
      <c r="E29" s="86"/>
      <c r="F29" s="86"/>
      <c r="G29" s="86"/>
      <c r="H29" s="86"/>
      <c r="I29" s="86"/>
      <c r="J29" s="172"/>
      <c r="K29" s="1063"/>
      <c r="L29" s="402"/>
      <c r="M29" s="1083" t="str">
        <f>HYPERLINK("https://kaart.delfi.ee//?bookmark=ebd616e171f4882941c876d5ba118858","Voka")</f>
        <v>Voka</v>
      </c>
      <c r="N29" s="276"/>
      <c r="O29" s="68"/>
      <c r="P29" s="110"/>
      <c r="R29" s="92"/>
      <c r="S29" s="92"/>
    </row>
    <row r="30" spans="1:19" x14ac:dyDescent="0.2">
      <c r="A30" s="86"/>
      <c r="B30" s="86"/>
      <c r="C30" s="86"/>
      <c r="D30" s="86"/>
      <c r="E30" s="86"/>
      <c r="F30" s="86"/>
      <c r="G30" s="86"/>
      <c r="H30" s="86"/>
      <c r="I30" s="86"/>
      <c r="J30" s="176"/>
      <c r="K30" s="407" t="str">
        <f>HYPERLINK("https://www.petanque.ee/index.php?id=103785&amp;cid=660","1. Baltic Clubs CUP")</f>
        <v>1. Baltic Clubs CUP</v>
      </c>
      <c r="L30" s="403"/>
      <c r="M30" s="403" t="s">
        <v>133</v>
      </c>
      <c r="N30" s="408" t="str">
        <f>HYPERLINK("https://petanque.ee/index.php?id=&amp;news_id=1244","inf")</f>
        <v>inf</v>
      </c>
      <c r="O30" s="68"/>
      <c r="P30" s="110"/>
      <c r="Q30" s="68"/>
      <c r="R30" s="68"/>
      <c r="S30" s="92"/>
    </row>
    <row r="31" spans="1:19" ht="13.5" thickBot="1" x14ac:dyDescent="0.25">
      <c r="A31" s="86"/>
      <c r="B31" s="86"/>
      <c r="C31" s="86"/>
      <c r="D31" s="86"/>
      <c r="E31" s="86"/>
      <c r="F31" s="86"/>
      <c r="G31" s="86"/>
      <c r="H31" s="86"/>
      <c r="I31" s="86"/>
      <c r="J31" s="177"/>
      <c r="K31" s="404"/>
      <c r="L31" s="406" t="s">
        <v>135</v>
      </c>
      <c r="M31" s="405"/>
      <c r="N31" s="409" t="str">
        <f>HYPERLINK("http://petanque.lv/wp-content/uploads/2019/06/BSCC_2019_final.pdf","tul")</f>
        <v>tul</v>
      </c>
      <c r="O31" s="68"/>
      <c r="P31" s="110"/>
      <c r="Q31" s="68"/>
      <c r="R31" s="68"/>
      <c r="S31" s="92"/>
    </row>
    <row r="32" spans="1:19" x14ac:dyDescent="0.2">
      <c r="A32" s="147"/>
      <c r="B32" s="98">
        <v>3</v>
      </c>
      <c r="C32" s="147"/>
      <c r="D32" s="98">
        <v>4</v>
      </c>
      <c r="E32" s="1038" t="str">
        <f>HYPERLINK("#V3!G1","Voka 6. KV")</f>
        <v>Voka 6. KV</v>
      </c>
      <c r="F32" s="98">
        <v>5</v>
      </c>
      <c r="G32" s="148"/>
      <c r="H32" s="98">
        <v>6</v>
      </c>
      <c r="I32" s="147"/>
      <c r="J32" s="179">
        <v>7</v>
      </c>
      <c r="K32" s="1064" t="str">
        <f>HYPERLINK("https://www.petanque.ee/index.php?id=103785&amp;cid=661","4. Saku Open")</f>
        <v>4. Saku Open</v>
      </c>
      <c r="L32" s="180">
        <v>8</v>
      </c>
      <c r="M32" s="1064" t="str">
        <f>HYPERLINK("https://www.petanque.ee/index.php?id=103785&amp;cid=662","4. Saku Open")</f>
        <v>4. Saku Open</v>
      </c>
      <c r="N32" s="181">
        <v>9</v>
      </c>
      <c r="O32" s="68"/>
      <c r="P32" s="7"/>
      <c r="Q32" s="92"/>
      <c r="R32" s="68"/>
      <c r="S32" s="92"/>
    </row>
    <row r="33" spans="1:19" x14ac:dyDescent="0.2">
      <c r="A33" s="124"/>
      <c r="B33" s="79"/>
      <c r="C33" s="124"/>
      <c r="D33" s="79"/>
      <c r="E33" s="1039" t="s">
        <v>136</v>
      </c>
      <c r="F33" s="150"/>
      <c r="G33" s="182"/>
      <c r="H33" s="79"/>
      <c r="I33" s="124"/>
      <c r="J33" s="79"/>
      <c r="K33" s="1065" t="s">
        <v>125</v>
      </c>
      <c r="L33" s="151" t="str">
        <f>HYPERLINK("https://www.facebook.com/267634706906332/photos/a.270745766595226/806061146397016/","inf")</f>
        <v>inf</v>
      </c>
      <c r="M33" s="1065" t="s">
        <v>134</v>
      </c>
      <c r="N33" s="156"/>
      <c r="O33" s="68"/>
      <c r="P33" s="7"/>
      <c r="Q33" s="68"/>
      <c r="R33" s="68"/>
      <c r="S33" s="68"/>
    </row>
    <row r="34" spans="1:19" ht="13.5" thickBot="1" x14ac:dyDescent="0.25">
      <c r="A34" s="127"/>
      <c r="B34" s="128"/>
      <c r="C34" s="127"/>
      <c r="D34" s="128"/>
      <c r="E34" s="159" t="str">
        <f>HYPERLINK("https://kaart.delfi.ee//?bookmark=ebd616e171f4882941c876d5ba118858","Voka")</f>
        <v>Voka</v>
      </c>
      <c r="F34" s="183"/>
      <c r="G34" s="184"/>
      <c r="H34" s="185"/>
      <c r="I34" s="127"/>
      <c r="J34" s="143"/>
      <c r="K34" s="1066" t="str">
        <f>HYPERLINK("http://kaart.delfi.ee//?bookmark=6e5907b77a1b1d76882ff264066d1116","Saku, Tallinna mnt 2")</f>
        <v>Saku, Tallinna mnt 2</v>
      </c>
      <c r="L34" s="186"/>
      <c r="M34" s="1066" t="str">
        <f>HYPERLINK("http://kaart.delfi.ee//?bookmark=6e5907b77a1b1d76882ff264066d1116","Saku, Tallinna mnt 2")</f>
        <v>Saku, Tallinna mnt 2</v>
      </c>
      <c r="N34" s="187"/>
      <c r="O34" s="68"/>
      <c r="P34" s="68"/>
      <c r="Q34" s="68"/>
      <c r="R34" s="68"/>
      <c r="S34" s="68"/>
    </row>
    <row r="35" spans="1:19" x14ac:dyDescent="0.2">
      <c r="A35" s="124"/>
      <c r="B35" s="80">
        <v>10</v>
      </c>
      <c r="C35" s="188"/>
      <c r="D35" s="80">
        <v>11</v>
      </c>
      <c r="E35" s="124"/>
      <c r="F35" s="80">
        <v>12</v>
      </c>
      <c r="G35" s="1051" t="str">
        <f>HYPERLINK("#4!G1","K-Järve 18. KV")</f>
        <v>K-Järve 18. KV</v>
      </c>
      <c r="H35" s="98">
        <v>13</v>
      </c>
      <c r="I35" s="124"/>
      <c r="J35" s="80">
        <v>14</v>
      </c>
      <c r="K35" s="1108" t="str">
        <f>HYPERLINK("https://www.petanque.ee/index.php?id=103785&amp;cid=663","29. Eesti MV")</f>
        <v>29. Eesti MV</v>
      </c>
      <c r="L35" s="82">
        <v>15</v>
      </c>
      <c r="M35" s="1089" t="str">
        <f>HYPERLINK("https://www.petanque.ee/index.php?id=103785&amp;cid=664","6. Viru karikas")</f>
        <v>6. Viru karikas</v>
      </c>
      <c r="N35" s="100">
        <v>16</v>
      </c>
      <c r="O35" s="92"/>
      <c r="P35" s="68"/>
      <c r="Q35" s="68"/>
      <c r="R35" s="68"/>
      <c r="S35" s="68"/>
    </row>
    <row r="36" spans="1:19" x14ac:dyDescent="0.2">
      <c r="A36" s="124"/>
      <c r="B36" s="86"/>
      <c r="C36" s="124"/>
      <c r="D36" s="86"/>
      <c r="E36" s="124"/>
      <c r="F36" s="86"/>
      <c r="G36" s="1049" t="s">
        <v>137</v>
      </c>
      <c r="H36" s="134"/>
      <c r="I36" s="124"/>
      <c r="J36" s="86"/>
      <c r="K36" s="1067" t="s">
        <v>138</v>
      </c>
      <c r="L36" s="86"/>
      <c r="M36" s="1065" t="s">
        <v>134</v>
      </c>
      <c r="N36" s="189"/>
      <c r="O36" s="92"/>
      <c r="P36" s="68"/>
      <c r="Q36" s="68"/>
      <c r="R36" s="68"/>
      <c r="S36" s="68"/>
    </row>
    <row r="37" spans="1:19" x14ac:dyDescent="0.2">
      <c r="A37" s="124"/>
      <c r="B37" s="86"/>
      <c r="C37" s="182"/>
      <c r="D37" s="86"/>
      <c r="E37" s="124"/>
      <c r="F37" s="86"/>
      <c r="G37" s="1048" t="str">
        <f>HYPERLINK("https://kaart.delfi.ee/?bookmark=521b80d6ceeefbe3e5d227267242b576","K-Järve")</f>
        <v>K-Järve</v>
      </c>
      <c r="H37" s="190"/>
      <c r="I37" s="191"/>
      <c r="J37" s="189"/>
      <c r="K37" s="1068" t="str">
        <f>HYPERLINK("http://kaart.delfi.ee//?bookmark=ebd616e171f4882941c876d5ba118858","Voka staadion")</f>
        <v>Voka staadion</v>
      </c>
      <c r="L37" s="192"/>
      <c r="M37" s="1090" t="str">
        <f>HYPERLINK("https://kaart.delfi.ee/?bookmark=521b80d6ceeefbe3e5d227267242b576","K-Järve")</f>
        <v>K-Järve</v>
      </c>
      <c r="N37" s="189"/>
      <c r="O37" s="68"/>
      <c r="P37" s="68"/>
      <c r="Q37" s="68"/>
      <c r="R37" s="68"/>
      <c r="S37" s="68"/>
    </row>
    <row r="38" spans="1:19" x14ac:dyDescent="0.2">
      <c r="A38" s="124"/>
      <c r="B38" s="86"/>
      <c r="C38" s="182"/>
      <c r="D38" s="86"/>
      <c r="E38" s="124"/>
      <c r="F38" s="86"/>
      <c r="G38" s="137"/>
      <c r="H38" s="193"/>
      <c r="I38" s="191"/>
      <c r="J38" s="189"/>
      <c r="K38" s="194" t="s">
        <v>139</v>
      </c>
      <c r="L38" s="195"/>
      <c r="M38" s="124"/>
      <c r="N38" s="189"/>
      <c r="O38" s="68"/>
      <c r="P38" s="68"/>
      <c r="Q38" s="68"/>
      <c r="R38" s="68"/>
      <c r="S38" s="68"/>
    </row>
    <row r="39" spans="1:19" x14ac:dyDescent="0.2">
      <c r="A39" s="124"/>
      <c r="B39" s="86"/>
      <c r="C39" s="182"/>
      <c r="D39" s="86"/>
      <c r="E39" s="124"/>
      <c r="F39" s="86"/>
      <c r="G39" s="137"/>
      <c r="H39" s="193"/>
      <c r="I39" s="191"/>
      <c r="J39" s="189"/>
      <c r="K39" s="196" t="s">
        <v>124</v>
      </c>
      <c r="L39" s="86"/>
      <c r="M39" s="124"/>
      <c r="N39" s="189"/>
      <c r="O39" s="68"/>
      <c r="P39" s="68"/>
      <c r="Q39" s="68"/>
      <c r="R39" s="68"/>
      <c r="S39" s="68"/>
    </row>
    <row r="40" spans="1:19" ht="13.5" thickBot="1" x14ac:dyDescent="0.25">
      <c r="A40" s="124"/>
      <c r="B40" s="86"/>
      <c r="C40" s="182"/>
      <c r="D40" s="86"/>
      <c r="E40" s="124"/>
      <c r="F40" s="86"/>
      <c r="G40" s="137"/>
      <c r="H40" s="193"/>
      <c r="I40" s="191"/>
      <c r="J40" s="189"/>
      <c r="K40" s="197" t="str">
        <f>HYPERLINK("http://petanque.lv/events/171/baltic-cup-2017-ropazi/","Zakumuiža (Läti)")</f>
        <v>Zakumuiža (Läti)</v>
      </c>
      <c r="L40" s="71" t="str">
        <f>HYPERLINK("https://www.facebook.com/PetankesSportoKlubasSiauliai/photos/a.2309124372539161/2309125919205673","fot")</f>
        <v>fot</v>
      </c>
      <c r="M40" s="124"/>
      <c r="N40" s="189"/>
      <c r="O40" s="68"/>
      <c r="P40" s="68"/>
      <c r="Q40" s="68"/>
      <c r="R40" s="68"/>
      <c r="S40" s="68"/>
    </row>
    <row r="41" spans="1:19" x14ac:dyDescent="0.2">
      <c r="A41" s="147"/>
      <c r="B41" s="98">
        <v>17</v>
      </c>
      <c r="C41" s="147"/>
      <c r="D41" s="98">
        <v>18</v>
      </c>
      <c r="E41" s="1038" t="str">
        <f>HYPERLINK("#V4!G1","Voka 6. KV")</f>
        <v>Voka 6. KV</v>
      </c>
      <c r="F41" s="98">
        <v>19</v>
      </c>
      <c r="G41" s="198"/>
      <c r="H41" s="98">
        <v>20</v>
      </c>
      <c r="I41" s="199"/>
      <c r="J41" s="200">
        <v>21</v>
      </c>
      <c r="K41" s="147"/>
      <c r="L41" s="98">
        <v>22</v>
      </c>
      <c r="M41" s="1091" t="s">
        <v>52</v>
      </c>
      <c r="N41" s="201">
        <v>23</v>
      </c>
      <c r="O41" s="68"/>
      <c r="P41" s="68"/>
      <c r="Q41" s="68"/>
      <c r="R41" s="68"/>
      <c r="S41" s="68"/>
    </row>
    <row r="42" spans="1:19" x14ac:dyDescent="0.2">
      <c r="A42" s="124"/>
      <c r="B42" s="86"/>
      <c r="C42" s="124"/>
      <c r="D42" s="86"/>
      <c r="E42" s="1039" t="s">
        <v>140</v>
      </c>
      <c r="F42" s="154"/>
      <c r="G42" s="188"/>
      <c r="H42" s="86"/>
      <c r="I42" s="191"/>
      <c r="J42" s="189"/>
      <c r="K42" s="124"/>
      <c r="L42" s="86"/>
      <c r="M42" s="1092" t="s">
        <v>141</v>
      </c>
      <c r="N42" s="202"/>
      <c r="O42" s="68"/>
      <c r="P42" s="92"/>
      <c r="Q42" s="68"/>
      <c r="R42" s="68"/>
      <c r="S42" s="92"/>
    </row>
    <row r="43" spans="1:19" ht="13.5" thickBot="1" x14ac:dyDescent="0.25">
      <c r="A43" s="127"/>
      <c r="B43" s="143"/>
      <c r="C43" s="127"/>
      <c r="D43" s="143"/>
      <c r="E43" s="159" t="str">
        <f>HYPERLINK("https://kaart.delfi.ee//?bookmark=ebd616e171f4882941c876d5ba118858","Voka")</f>
        <v>Voka</v>
      </c>
      <c r="F43" s="160"/>
      <c r="G43" s="203"/>
      <c r="H43" s="143"/>
      <c r="I43" s="204"/>
      <c r="J43" s="205"/>
      <c r="K43" s="127"/>
      <c r="L43" s="206"/>
      <c r="M43" s="343" t="str">
        <f>HYPERLINK("https://kaart.delfi.ee//?bookmark=ebd616e171f4882941c876d5ba118858","Voka")</f>
        <v>Voka</v>
      </c>
      <c r="N43" s="207"/>
      <c r="O43" s="68"/>
      <c r="P43" s="68"/>
      <c r="Q43" s="68"/>
      <c r="R43" s="68"/>
      <c r="S43" s="68"/>
    </row>
    <row r="44" spans="1:19" x14ac:dyDescent="0.2">
      <c r="A44" s="147"/>
      <c r="B44" s="208">
        <v>24</v>
      </c>
      <c r="C44" s="86"/>
      <c r="D44" s="80">
        <v>25</v>
      </c>
      <c r="E44" s="124"/>
      <c r="F44" s="171">
        <v>26</v>
      </c>
      <c r="G44" s="124"/>
      <c r="H44" s="80">
        <v>27</v>
      </c>
      <c r="I44" s="199"/>
      <c r="J44" s="200">
        <v>28</v>
      </c>
      <c r="K44" s="1069" t="str">
        <f>HYPERLINK("#Mu!H1","Toila valla lahtised MV")</f>
        <v>Toila valla lahtised MV</v>
      </c>
      <c r="L44" s="82">
        <v>29</v>
      </c>
      <c r="M44" s="1051" t="str">
        <f>HYPERLINK("#i6!G1","Ida-Virumaa MV")</f>
        <v>Ida-Virumaa MV</v>
      </c>
      <c r="N44" s="82">
        <v>30</v>
      </c>
      <c r="O44" s="68"/>
      <c r="P44" s="68"/>
      <c r="Q44" s="209"/>
      <c r="R44" s="68"/>
      <c r="S44" s="68"/>
    </row>
    <row r="45" spans="1:19" x14ac:dyDescent="0.2">
      <c r="A45" s="124"/>
      <c r="B45" s="108"/>
      <c r="C45" s="86"/>
      <c r="D45" s="79"/>
      <c r="E45" s="124"/>
      <c r="F45" s="86"/>
      <c r="G45" s="124"/>
      <c r="H45" s="86"/>
      <c r="I45" s="124"/>
      <c r="J45" s="108"/>
      <c r="K45" s="1070" t="s">
        <v>142</v>
      </c>
      <c r="L45" s="210"/>
      <c r="M45" s="1046" t="s">
        <v>134</v>
      </c>
      <c r="N45" s="190"/>
      <c r="O45" s="68"/>
      <c r="P45" s="68"/>
      <c r="Q45" s="68"/>
      <c r="R45" s="68"/>
      <c r="S45" s="68"/>
    </row>
    <row r="46" spans="1:19" x14ac:dyDescent="0.2">
      <c r="A46" s="124"/>
      <c r="B46" s="108"/>
      <c r="C46" s="86"/>
      <c r="D46" s="79"/>
      <c r="E46" s="124"/>
      <c r="F46" s="86"/>
      <c r="G46" s="124"/>
      <c r="H46" s="86"/>
      <c r="I46" s="124"/>
      <c r="J46" s="108"/>
      <c r="K46" s="1071" t="str">
        <f>HYPERLINK("https://kaart.delfi.ee/?bookmark=63ebb20d0f5732aa12acf360e2b986df","Voka staadion")</f>
        <v>Voka staadion</v>
      </c>
      <c r="L46" s="211"/>
      <c r="M46" s="1093" t="str">
        <f>HYPERLINK("https://kaart.delfi.ee//?bookmark=ebd616e171f4882941c876d5ba118858","Voka")</f>
        <v>Voka</v>
      </c>
      <c r="N46" s="212"/>
      <c r="O46" s="68"/>
      <c r="P46" s="213"/>
      <c r="Q46" s="7"/>
      <c r="R46" s="68"/>
      <c r="S46" s="68"/>
    </row>
    <row r="47" spans="1:19" x14ac:dyDescent="0.2">
      <c r="A47" s="124"/>
      <c r="B47" s="108"/>
      <c r="C47" s="86"/>
      <c r="D47" s="79"/>
      <c r="E47" s="124"/>
      <c r="F47" s="86"/>
      <c r="G47" s="124"/>
      <c r="H47" s="86"/>
      <c r="I47" s="124"/>
      <c r="J47" s="108"/>
      <c r="K47" s="214" t="str">
        <f>HYPERLINK("https://www.petanque.ee/index.php?id=103785&amp;cid=665","Baltic Singles Masters, ")</f>
        <v xml:space="preserve">Baltic Singles Masters, </v>
      </c>
      <c r="L47" s="151" t="str">
        <f>HYPERLINK("http://petanque.lv/events/baltijas-empion-ts-v-rie-u-vieniniekiem/","inf")</f>
        <v>inf</v>
      </c>
      <c r="M47" s="1094"/>
      <c r="N47" s="212"/>
      <c r="O47" s="68"/>
      <c r="P47" s="7"/>
      <c r="Q47" s="68"/>
      <c r="R47" s="68"/>
      <c r="S47" s="68"/>
    </row>
    <row r="48" spans="1:19" x14ac:dyDescent="0.2">
      <c r="A48" s="124"/>
      <c r="B48" s="108"/>
      <c r="C48" s="86"/>
      <c r="D48" s="79"/>
      <c r="E48" s="124"/>
      <c r="F48" s="86"/>
      <c r="G48" s="124"/>
      <c r="H48" s="86"/>
      <c r="I48" s="124"/>
      <c r="J48" s="108"/>
      <c r="K48" s="215" t="s">
        <v>143</v>
      </c>
      <c r="L48" s="151" t="str">
        <f>HYPERLINK("http://petanque.lv/wp-content/uploads/2019/06/2019_baltic_masters_men_final.pdf","tul m")</f>
        <v>tul m</v>
      </c>
      <c r="M48" s="1094"/>
      <c r="N48" s="212"/>
      <c r="O48" s="68"/>
      <c r="P48" s="7"/>
      <c r="Q48" s="68"/>
      <c r="R48" s="68"/>
      <c r="S48" s="68"/>
    </row>
    <row r="49" spans="1:19" ht="13.5" thickBot="1" x14ac:dyDescent="0.25">
      <c r="A49" s="127"/>
      <c r="B49" s="186"/>
      <c r="C49" s="143"/>
      <c r="D49" s="128"/>
      <c r="E49" s="127"/>
      <c r="F49" s="143"/>
      <c r="G49" s="127"/>
      <c r="H49" s="143"/>
      <c r="I49" s="216"/>
      <c r="J49" s="217"/>
      <c r="K49" s="173" t="s">
        <v>144</v>
      </c>
      <c r="L49" s="218" t="str">
        <f>HYPERLINK("http://petanque.lv/wp-content/uploads/2019/06/2019_baltic_masters_women_final.pdf","tul n")</f>
        <v>tul n</v>
      </c>
      <c r="M49" s="1095"/>
      <c r="N49" s="219"/>
      <c r="O49" s="68"/>
      <c r="P49" s="7"/>
      <c r="Q49" s="68"/>
      <c r="R49" s="68"/>
      <c r="S49" s="68"/>
    </row>
    <row r="50" spans="1:19" ht="13.5" thickBot="1" x14ac:dyDescent="0.25">
      <c r="A50" s="220" t="s">
        <v>58</v>
      </c>
      <c r="B50" s="77"/>
      <c r="C50" s="78"/>
      <c r="D50" s="92"/>
      <c r="E50" s="92"/>
      <c r="F50" s="92"/>
      <c r="G50" s="92"/>
      <c r="H50" s="92"/>
      <c r="I50" s="92"/>
      <c r="J50" s="92"/>
      <c r="K50" s="221"/>
      <c r="L50" s="221"/>
      <c r="M50" s="221"/>
      <c r="N50" s="221"/>
      <c r="O50" s="68"/>
      <c r="P50" s="92"/>
      <c r="Q50" s="68"/>
      <c r="R50" s="68"/>
      <c r="S50" s="92"/>
    </row>
    <row r="51" spans="1:19" x14ac:dyDescent="0.2">
      <c r="A51" s="147"/>
      <c r="B51" s="98">
        <v>1</v>
      </c>
      <c r="C51" s="147"/>
      <c r="D51" s="222">
        <v>2</v>
      </c>
      <c r="E51" s="147"/>
      <c r="F51" s="98">
        <v>3</v>
      </c>
      <c r="G51" s="1051" t="str">
        <f>HYPERLINK("#i6!G1","Ida-Virumaa MV")</f>
        <v>Ida-Virumaa MV</v>
      </c>
      <c r="H51" s="223">
        <v>4</v>
      </c>
      <c r="I51" s="147"/>
      <c r="J51" s="222">
        <v>5</v>
      </c>
      <c r="K51" s="1072" t="str">
        <f>HYPERLINK("https://www.petanque.ee/index.php?id=103785&amp;cid=667","11.Baltic Cup 3.etapp")</f>
        <v>11.Baltic Cup 3.etapp</v>
      </c>
      <c r="L51" s="222">
        <v>6</v>
      </c>
      <c r="M51" s="147"/>
      <c r="N51" s="171">
        <v>7</v>
      </c>
      <c r="O51" s="68"/>
      <c r="P51" s="92"/>
      <c r="Q51" s="68"/>
      <c r="R51" s="68"/>
      <c r="S51" s="92"/>
    </row>
    <row r="52" spans="1:19" x14ac:dyDescent="0.2">
      <c r="A52" s="124"/>
      <c r="B52" s="86"/>
      <c r="C52" s="124"/>
      <c r="D52" s="86"/>
      <c r="E52" s="124"/>
      <c r="F52" s="86"/>
      <c r="G52" s="279" t="s">
        <v>145</v>
      </c>
      <c r="H52" s="212"/>
      <c r="I52" s="124"/>
      <c r="J52" s="224"/>
      <c r="K52" s="1065" t="s">
        <v>124</v>
      </c>
      <c r="L52" s="86"/>
      <c r="M52" s="124"/>
      <c r="N52" s="156"/>
      <c r="O52" s="68"/>
      <c r="P52" s="92"/>
      <c r="Q52" s="68"/>
      <c r="R52" s="68"/>
      <c r="S52" s="92"/>
    </row>
    <row r="53" spans="1:19" ht="13.5" thickBot="1" x14ac:dyDescent="0.25">
      <c r="A53" s="127"/>
      <c r="B53" s="186"/>
      <c r="C53" s="127"/>
      <c r="D53" s="186"/>
      <c r="E53" s="127"/>
      <c r="F53" s="128"/>
      <c r="G53" s="1052" t="str">
        <f>HYPERLINK("https://kaart.delfi.ee/?bookmark=521b80d6ceeefbe3e5d227267242b576","K-Järve")</f>
        <v>K-Järve</v>
      </c>
      <c r="H53" s="225"/>
      <c r="I53" s="127"/>
      <c r="J53" s="206"/>
      <c r="K53" s="1073" t="str">
        <f>HYPERLINK("https://kaart.delfi.ee/?bookmark=037591353bf9698628b723dab6c5e799","Valga")</f>
        <v>Valga</v>
      </c>
      <c r="L53" s="186"/>
      <c r="M53" s="226" t="str">
        <f>HYPERLINK("https://www.mondiallaarseillaiseapetanque.com","58. Mondial la Marseillaise à Pétanque 07.-11.07.2019")</f>
        <v>58. Mondial la Marseillaise à Pétanque 07.-11.07.2019</v>
      </c>
      <c r="N53" s="227"/>
      <c r="O53" s="209" t="s">
        <v>88</v>
      </c>
      <c r="P53" s="92"/>
      <c r="Q53" s="68"/>
      <c r="R53" s="68"/>
      <c r="S53" s="92"/>
    </row>
    <row r="54" spans="1:19" x14ac:dyDescent="0.2">
      <c r="A54" s="147"/>
      <c r="B54" s="171">
        <v>8</v>
      </c>
      <c r="C54" s="228"/>
      <c r="D54" s="80">
        <v>9</v>
      </c>
      <c r="E54" s="1038" t="str">
        <f>HYPERLINK("#V5!G1","Voka 6. KV")</f>
        <v>Voka 6. KV</v>
      </c>
      <c r="F54" s="98">
        <v>10</v>
      </c>
      <c r="G54" s="124"/>
      <c r="H54" s="80">
        <v>11</v>
      </c>
      <c r="I54" s="101"/>
      <c r="J54" s="229">
        <v>12</v>
      </c>
      <c r="K54" s="188" t="str">
        <f>HYPERLINK("http://joud.ee/g183","15. Eestimaa suve-")</f>
        <v>15. Eestimaa suve-</v>
      </c>
      <c r="L54" s="229">
        <v>13</v>
      </c>
      <c r="M54" s="101" t="s">
        <v>146</v>
      </c>
      <c r="N54" s="82">
        <v>14</v>
      </c>
      <c r="O54" s="68"/>
      <c r="P54" s="92"/>
      <c r="Q54" s="68"/>
      <c r="R54" s="68"/>
      <c r="S54" s="92"/>
    </row>
    <row r="55" spans="1:19" x14ac:dyDescent="0.2">
      <c r="A55" s="124"/>
      <c r="B55" s="108"/>
      <c r="C55" s="86"/>
      <c r="D55" s="79"/>
      <c r="E55" s="1039" t="s">
        <v>147</v>
      </c>
      <c r="F55" s="150"/>
      <c r="G55" s="124"/>
      <c r="H55" s="86"/>
      <c r="I55" s="124"/>
      <c r="J55" s="224"/>
      <c r="K55" s="124" t="s">
        <v>148</v>
      </c>
      <c r="L55" s="79"/>
      <c r="M55" s="124" t="s">
        <v>148</v>
      </c>
      <c r="N55" s="108"/>
      <c r="O55" s="7"/>
      <c r="P55" s="110"/>
      <c r="Q55" s="7"/>
      <c r="R55" s="68"/>
      <c r="S55" s="110"/>
    </row>
    <row r="56" spans="1:19" x14ac:dyDescent="0.2">
      <c r="A56" s="124"/>
      <c r="B56" s="108"/>
      <c r="C56" s="230"/>
      <c r="D56" s="231"/>
      <c r="E56" s="1040" t="str">
        <f>HYPERLINK("https://kaart.delfi.ee//?bookmark=ebd616e171f4882941c876d5ba118858","Voka")</f>
        <v>Voka</v>
      </c>
      <c r="F56" s="232"/>
      <c r="G56" s="86"/>
      <c r="H56" s="86"/>
      <c r="I56" s="124"/>
      <c r="J56" s="224"/>
      <c r="K56" s="124"/>
      <c r="L56" s="79"/>
      <c r="M56" s="124"/>
      <c r="N56" s="108"/>
      <c r="O56" s="7"/>
      <c r="P56" s="110"/>
      <c r="Q56" s="7"/>
      <c r="R56" s="68"/>
      <c r="S56" s="110"/>
    </row>
    <row r="57" spans="1:19" ht="13.5" thickBot="1" x14ac:dyDescent="0.25">
      <c r="A57" s="233" t="s">
        <v>149</v>
      </c>
      <c r="B57" s="234"/>
      <c r="C57" s="235"/>
      <c r="D57" s="236"/>
      <c r="E57" s="236"/>
      <c r="F57" s="227"/>
      <c r="G57" s="236"/>
      <c r="H57" s="234"/>
      <c r="I57" s="127"/>
      <c r="J57" s="237"/>
      <c r="K57" s="1074" t="str">
        <f>HYPERLINK("http://kaart.delfi.ee/?bookmark=65e8369c9ead3bea2b8f66fded5efa4e","Tartu, Tähe 103")</f>
        <v>Tartu, Tähe 103</v>
      </c>
      <c r="L57" s="131" t="str">
        <f>HYPERLINK("http://www.joud.ee/g183/","inf")</f>
        <v>inf</v>
      </c>
      <c r="M57" s="1074" t="str">
        <f>HYPERLINK("http://kaart.delfi.ee/?bookmark=65e8369c9ead3bea2b8f66fded5efa4e","Tartu, Tähe 103")</f>
        <v>Tartu, Tähe 103</v>
      </c>
      <c r="N57" s="186"/>
      <c r="O57" s="68"/>
      <c r="P57" s="92"/>
      <c r="Q57" s="68"/>
      <c r="R57" s="68"/>
      <c r="S57" s="92"/>
    </row>
    <row r="58" spans="1:19" x14ac:dyDescent="0.2">
      <c r="A58" s="124"/>
      <c r="B58" s="80">
        <v>15</v>
      </c>
      <c r="C58" s="124"/>
      <c r="D58" s="229">
        <v>16</v>
      </c>
      <c r="E58" s="188"/>
      <c r="F58" s="229">
        <v>17</v>
      </c>
      <c r="G58" s="1051" t="str">
        <f>HYPERLINK("#11!J1","K-Järve 20. MV")</f>
        <v>K-Järve 20. MV</v>
      </c>
      <c r="H58" s="171">
        <v>18</v>
      </c>
      <c r="I58" s="124"/>
      <c r="J58" s="229">
        <v>19</v>
      </c>
      <c r="K58" s="112" t="str">
        <f>HYPERLINK("https://www.petanque.ee/index.php?id=103785&amp;cid=670","22. Eesti MV")</f>
        <v>22. Eesti MV</v>
      </c>
      <c r="L58" s="229">
        <v>20</v>
      </c>
      <c r="M58" s="1107" t="str">
        <f>HYPERLINK("https://www.petanque.ee/index.php?id=103785&amp;cid=671","14. Eesti MV")</f>
        <v>14. Eesti MV</v>
      </c>
      <c r="N58" s="82">
        <v>21</v>
      </c>
      <c r="O58" s="68"/>
      <c r="P58" s="92"/>
      <c r="Q58" s="92"/>
      <c r="R58" s="68"/>
      <c r="S58" s="92"/>
    </row>
    <row r="59" spans="1:19" x14ac:dyDescent="0.2">
      <c r="A59" s="238" t="s">
        <v>150</v>
      </c>
      <c r="B59" s="86"/>
      <c r="C59" s="124"/>
      <c r="D59" s="239"/>
      <c r="E59" s="84"/>
      <c r="F59" s="239"/>
      <c r="G59" s="279" t="s">
        <v>134</v>
      </c>
      <c r="H59" s="240"/>
      <c r="I59" s="124"/>
      <c r="J59" s="224"/>
      <c r="K59" s="1067" t="s">
        <v>151</v>
      </c>
      <c r="L59" s="79"/>
      <c r="M59" s="1067" t="s">
        <v>152</v>
      </c>
      <c r="N59" s="156"/>
      <c r="O59" s="68"/>
      <c r="P59" s="92"/>
      <c r="Q59" s="92"/>
      <c r="R59" s="68"/>
      <c r="S59" s="92"/>
    </row>
    <row r="60" spans="1:19" ht="13.5" thickBot="1" x14ac:dyDescent="0.25">
      <c r="A60" s="130" t="s">
        <v>153</v>
      </c>
      <c r="B60" s="143"/>
      <c r="C60" s="127"/>
      <c r="D60" s="241"/>
      <c r="E60" s="242"/>
      <c r="F60" s="206"/>
      <c r="G60" s="1052" t="str">
        <f>HYPERLINK("https://kaart.delfi.ee/?bookmark=521b80d6ceeefbe3e5d227267242b576","K-Järve")</f>
        <v>K-Järve</v>
      </c>
      <c r="H60" s="225"/>
      <c r="I60" s="127"/>
      <c r="J60" s="243"/>
      <c r="K60" s="1066" t="str">
        <f>HYPERLINK("https://kaart.delfi.ee//?bookmark=f8094d103086679871eb6f8621cfcd24","Uuskalda (Läänemaa)")</f>
        <v>Uuskalda (Läänemaa)</v>
      </c>
      <c r="L60" s="143"/>
      <c r="M60" s="1066" t="str">
        <f>HYPERLINK("https://kaart.delfi.ee//?bookmark=f8094d103086679871eb6f8621cfcd24","Uuskalda (Läänemaa)")</f>
        <v>Uuskalda (Läänemaa)</v>
      </c>
      <c r="N60" s="243"/>
      <c r="O60" s="209"/>
      <c r="P60" s="68"/>
      <c r="Q60" s="68"/>
      <c r="R60" s="68"/>
      <c r="S60" s="68"/>
    </row>
    <row r="61" spans="1:19" x14ac:dyDescent="0.2">
      <c r="A61" s="147"/>
      <c r="B61" s="171">
        <v>22</v>
      </c>
      <c r="C61" s="124"/>
      <c r="D61" s="80">
        <v>23</v>
      </c>
      <c r="E61" s="1041" t="str">
        <f>HYPERLINK("#V6!G1","Voka 6. KV")</f>
        <v>Voka 6. KV</v>
      </c>
      <c r="F61" s="229">
        <v>24</v>
      </c>
      <c r="G61" s="238" t="s">
        <v>150</v>
      </c>
      <c r="H61" s="80">
        <v>25</v>
      </c>
      <c r="I61" s="147"/>
      <c r="J61" s="171">
        <v>26</v>
      </c>
      <c r="K61" s="124"/>
      <c r="L61" s="80">
        <v>27</v>
      </c>
      <c r="M61" s="1051" t="str">
        <f>HYPERLINK("#4!J1","I-Virumaa MV")</f>
        <v>I-Virumaa MV</v>
      </c>
      <c r="N61" s="171">
        <v>28</v>
      </c>
      <c r="O61" s="68"/>
      <c r="P61" s="92"/>
      <c r="S61" s="92"/>
    </row>
    <row r="62" spans="1:19" x14ac:dyDescent="0.2">
      <c r="A62" s="124"/>
      <c r="B62" s="108"/>
      <c r="C62" s="124"/>
      <c r="D62" s="79"/>
      <c r="E62" s="1042" t="s">
        <v>154</v>
      </c>
      <c r="F62" s="150"/>
      <c r="G62" s="238" t="s">
        <v>153</v>
      </c>
      <c r="H62" s="79"/>
      <c r="I62" s="124"/>
      <c r="J62" s="108"/>
      <c r="K62" s="86"/>
      <c r="L62" s="79"/>
      <c r="M62" s="1082" t="s">
        <v>125</v>
      </c>
      <c r="N62" s="175"/>
      <c r="O62" s="68"/>
      <c r="P62" s="92"/>
      <c r="S62" s="92"/>
    </row>
    <row r="63" spans="1:19" x14ac:dyDescent="0.2">
      <c r="A63" s="124"/>
      <c r="B63" s="108"/>
      <c r="C63" s="124"/>
      <c r="D63" s="79"/>
      <c r="E63" s="1043" t="str">
        <f>HYPERLINK("https://kaart.delfi.ee//?bookmark=ebd616e171f4882941c876d5ba118858","Voka")</f>
        <v>Voka</v>
      </c>
      <c r="F63" s="150"/>
      <c r="G63" s="238"/>
      <c r="H63" s="79"/>
      <c r="I63" s="124"/>
      <c r="J63" s="108"/>
      <c r="K63" s="86"/>
      <c r="L63" s="79"/>
      <c r="M63" s="1097" t="str">
        <f>HYPERLINK("https://kaart.delfi.ee/?bookmark=4c0b1b0c24ff9f4919899a9546bf50f1","Jõhvi, Neptun")</f>
        <v>Jõhvi, Neptun</v>
      </c>
      <c r="N63" s="175"/>
      <c r="O63" s="68"/>
      <c r="P63" s="92"/>
      <c r="S63" s="92"/>
    </row>
    <row r="64" spans="1:19" ht="13.5" thickBot="1" x14ac:dyDescent="0.25">
      <c r="A64" s="127"/>
      <c r="B64" s="186"/>
      <c r="C64" s="127"/>
      <c r="D64" s="128"/>
      <c r="E64" s="244"/>
      <c r="F64" s="183"/>
      <c r="G64" s="235"/>
      <c r="H64" s="245"/>
      <c r="I64" s="235"/>
      <c r="J64" s="246"/>
      <c r="K64" s="247" t="s">
        <v>585</v>
      </c>
      <c r="L64" s="236"/>
      <c r="M64" s="235"/>
      <c r="N64" s="248" t="s">
        <v>155</v>
      </c>
      <c r="O64" s="7"/>
      <c r="P64" s="110"/>
      <c r="S64" s="110"/>
    </row>
    <row r="65" spans="1:19" ht="13.5" thickBot="1" x14ac:dyDescent="0.25">
      <c r="A65" s="251" t="s">
        <v>68</v>
      </c>
      <c r="B65" s="252"/>
      <c r="C65" s="253"/>
      <c r="D65" s="254"/>
      <c r="E65" s="254"/>
      <c r="F65" s="255"/>
      <c r="G65" s="256"/>
      <c r="H65" s="255"/>
      <c r="I65" s="256"/>
      <c r="J65" s="255"/>
      <c r="K65" s="256"/>
      <c r="L65" s="257"/>
      <c r="M65" s="254"/>
      <c r="N65" s="257"/>
      <c r="O65" s="68"/>
      <c r="P65" s="68"/>
      <c r="Q65" s="68"/>
      <c r="R65" s="68"/>
      <c r="S65" s="68"/>
    </row>
    <row r="66" spans="1:19" x14ac:dyDescent="0.2">
      <c r="A66" s="147"/>
      <c r="B66" s="98">
        <v>29</v>
      </c>
      <c r="C66" s="147"/>
      <c r="D66" s="98">
        <v>30</v>
      </c>
      <c r="E66" s="147"/>
      <c r="F66" s="165">
        <v>31</v>
      </c>
      <c r="G66" s="1053" t="str">
        <f>HYPERLINK("#7!J1","K-Järve 18. MV")</f>
        <v>K-Järve 18. MV</v>
      </c>
      <c r="H66" s="171">
        <v>1</v>
      </c>
      <c r="I66" s="147"/>
      <c r="J66" s="98">
        <v>2</v>
      </c>
      <c r="K66" s="147" t="s">
        <v>156</v>
      </c>
      <c r="L66" s="98">
        <v>3</v>
      </c>
      <c r="M66" s="258"/>
      <c r="N66" s="171">
        <v>4</v>
      </c>
      <c r="O66" s="68"/>
      <c r="P66" s="92"/>
      <c r="Q66" s="7"/>
      <c r="R66" s="92"/>
      <c r="S66" s="92"/>
    </row>
    <row r="67" spans="1:19" x14ac:dyDescent="0.2">
      <c r="A67" s="124"/>
      <c r="B67" s="86"/>
      <c r="C67" s="259"/>
      <c r="D67" s="86"/>
      <c r="E67" s="124"/>
      <c r="F67" s="176"/>
      <c r="G67" s="1054" t="s">
        <v>125</v>
      </c>
      <c r="H67" s="212"/>
      <c r="I67" s="124"/>
      <c r="J67" s="86"/>
      <c r="K67" s="124" t="s">
        <v>157</v>
      </c>
      <c r="L67" s="86"/>
      <c r="M67" s="260" t="str">
        <f>HYPERLINK("http://esvl.ee/uus/wp-content/uploads/2019/01/ESVL-52-Sportm%C3%A4ngud-Juhend-6.12.18.docx","juh")</f>
        <v>juh</v>
      </c>
      <c r="N67" s="261"/>
      <c r="O67" s="68"/>
      <c r="P67" s="92"/>
      <c r="Q67" s="7"/>
      <c r="R67" s="68"/>
      <c r="S67" s="92"/>
    </row>
    <row r="68" spans="1:19" x14ac:dyDescent="0.2">
      <c r="A68" s="124"/>
      <c r="B68" s="86"/>
      <c r="C68" s="124"/>
      <c r="D68" s="86"/>
      <c r="E68" s="124"/>
      <c r="F68" s="176"/>
      <c r="G68" s="1048" t="str">
        <f>HYPERLINK("https://kaart.delfi.ee/?bookmark=521b80d6ceeefbe3e5d227267242b576","K-Järve")</f>
        <v>K-Järve</v>
      </c>
      <c r="H68" s="212"/>
      <c r="I68" s="124"/>
      <c r="J68" s="86"/>
      <c r="K68" s="1075" t="str">
        <f>HYPERLINK("http://kaart.delfi.ee//?bookmark=ce1706782072180955e56b66fceed014","Vinni (Lääne-Virumaa)")</f>
        <v>Vinni (Lääne-Virumaa)</v>
      </c>
      <c r="L68" s="262"/>
      <c r="M68" s="263" t="str">
        <f>HYPERLINK("https://docs.google.com/spreadsheets/d/1voiua63L479pSSs7zBmD-v0VDWnHujTfwm4P7hyWaVk/edit#gid=2121021355","tul")</f>
        <v>tul</v>
      </c>
      <c r="N68" s="264"/>
      <c r="O68" s="68"/>
      <c r="P68" s="68"/>
      <c r="Q68" s="7"/>
      <c r="R68" s="7"/>
      <c r="S68" s="68"/>
    </row>
    <row r="69" spans="1:19" x14ac:dyDescent="0.2">
      <c r="A69" s="124"/>
      <c r="B69" s="86"/>
      <c r="C69" s="124"/>
      <c r="D69" s="86"/>
      <c r="E69" s="124"/>
      <c r="F69" s="86"/>
      <c r="G69" s="265"/>
      <c r="H69" s="138"/>
      <c r="I69" s="124"/>
      <c r="J69" s="86"/>
      <c r="K69" s="1076" t="str">
        <f>HYPERLINK("https://www.petanque.ee/index.php?id=103785&amp;cid=676","29. Eesti MV")</f>
        <v>29. Eesti MV</v>
      </c>
      <c r="L69" s="178"/>
      <c r="M69" s="1076" t="str">
        <f>HYPERLINK("https://www.petanque.ee/index.php?id=103785&amp;cid=677","28. Eesti MV")</f>
        <v>28. Eesti MV</v>
      </c>
      <c r="N69" s="178"/>
      <c r="O69" s="68"/>
      <c r="P69" s="68"/>
      <c r="Q69" s="7"/>
      <c r="R69" s="7"/>
      <c r="S69" s="68"/>
    </row>
    <row r="70" spans="1:19" x14ac:dyDescent="0.2">
      <c r="A70" s="124"/>
      <c r="B70" s="86"/>
      <c r="C70" s="124"/>
      <c r="D70" s="86"/>
      <c r="E70" s="124"/>
      <c r="F70" s="176"/>
      <c r="G70" s="265"/>
      <c r="H70" s="138"/>
      <c r="I70" s="124"/>
      <c r="J70" s="86"/>
      <c r="K70" s="1067" t="s">
        <v>134</v>
      </c>
      <c r="L70" s="156"/>
      <c r="M70" s="1067" t="s">
        <v>125</v>
      </c>
      <c r="N70" s="156"/>
      <c r="O70" s="68"/>
      <c r="P70" s="68"/>
      <c r="Q70" s="7"/>
      <c r="R70" s="7"/>
      <c r="S70" s="68"/>
    </row>
    <row r="71" spans="1:19" ht="13.5" thickBot="1" x14ac:dyDescent="0.25">
      <c r="A71" s="266"/>
      <c r="B71" s="267"/>
      <c r="C71" s="266"/>
      <c r="D71" s="267"/>
      <c r="E71" s="266"/>
      <c r="F71" s="268"/>
      <c r="G71" s="145"/>
      <c r="H71" s="145"/>
      <c r="I71" s="127"/>
      <c r="J71" s="143"/>
      <c r="K71" s="1077" t="str">
        <f>HYPERLINK("https://kaart.delfi.ee/?bookmark=b43a59a8c011e00b2ca163e666a9bf3f","Tallinn, Pirita")</f>
        <v>Tallinn, Pirita</v>
      </c>
      <c r="L71" s="143"/>
      <c r="M71" s="1077" t="str">
        <f>HYPERLINK("https://kaart.delfi.ee/?bookmark=b43a59a8c011e00b2ca163e666a9bf3f","Tallinn, Pirita")</f>
        <v>Tallinn, Pirita</v>
      </c>
      <c r="N71" s="206"/>
      <c r="O71" s="68"/>
      <c r="P71" s="68"/>
      <c r="Q71" s="7"/>
      <c r="R71" s="7"/>
      <c r="S71" s="209"/>
    </row>
    <row r="72" spans="1:19" ht="13.5" thickTop="1" x14ac:dyDescent="0.2">
      <c r="A72" s="124"/>
      <c r="B72" s="80">
        <v>5</v>
      </c>
      <c r="C72" s="124"/>
      <c r="D72" s="80">
        <v>6</v>
      </c>
      <c r="E72" s="1038" t="str">
        <f>HYPERLINK("#V7!G1","Voka 6. KV")</f>
        <v>Voka 6. KV</v>
      </c>
      <c r="F72" s="80">
        <v>7</v>
      </c>
      <c r="G72" s="188"/>
      <c r="H72" s="80">
        <v>8</v>
      </c>
      <c r="I72" s="124"/>
      <c r="J72" s="80">
        <v>9</v>
      </c>
      <c r="K72" s="1072" t="str">
        <f>HYPERLINK("https://www.petanque.ee/index.php?id=103785&amp;cid=678","8. Valge Daam")</f>
        <v>8. Valge Daam</v>
      </c>
      <c r="L72" s="80">
        <v>10</v>
      </c>
      <c r="M72" s="1072" t="str">
        <f>HYPERLINK("https://www.petanque.ee/index.php?id=103785&amp;cid=679","8. Valge Daam")</f>
        <v>8. Valge Daam</v>
      </c>
      <c r="N72" s="82">
        <v>11</v>
      </c>
      <c r="O72" s="68"/>
      <c r="P72" s="92"/>
      <c r="Q72" s="7"/>
      <c r="R72" s="68"/>
      <c r="S72" s="92"/>
    </row>
    <row r="73" spans="1:19" x14ac:dyDescent="0.2">
      <c r="A73" s="124"/>
      <c r="B73" s="86"/>
      <c r="C73" s="124"/>
      <c r="D73" s="86"/>
      <c r="E73" s="1039" t="s">
        <v>158</v>
      </c>
      <c r="F73" s="154"/>
      <c r="G73" s="84"/>
      <c r="H73" s="86"/>
      <c r="I73" s="124"/>
      <c r="J73" s="269"/>
      <c r="K73" s="1078" t="s">
        <v>152</v>
      </c>
      <c r="L73" s="86"/>
      <c r="M73" s="1078" t="s">
        <v>152</v>
      </c>
      <c r="N73" s="270"/>
      <c r="O73" s="68"/>
      <c r="P73" s="92"/>
      <c r="Q73" s="68"/>
      <c r="R73" s="68"/>
      <c r="S73" s="92"/>
    </row>
    <row r="74" spans="1:19" ht="13.5" thickBot="1" x14ac:dyDescent="0.25">
      <c r="A74" s="127"/>
      <c r="B74" s="143"/>
      <c r="C74" s="127"/>
      <c r="D74" s="143"/>
      <c r="E74" s="159" t="str">
        <f>HYPERLINK("https://kaart.delfi.ee//?bookmark=ebd616e171f4882941c876d5ba118858","Voka")</f>
        <v>Voka</v>
      </c>
      <c r="F74" s="160"/>
      <c r="G74" s="271"/>
      <c r="H74" s="143"/>
      <c r="I74" s="127"/>
      <c r="J74" s="143"/>
      <c r="K74" s="1079" t="str">
        <f>HYPERLINK("http://kaart.delfi.ee/?bookmark=77b05dbe2b4abf45821ef457cf79588b","Haapsalu, Fra Mare")</f>
        <v>Haapsalu, Fra Mare</v>
      </c>
      <c r="L74" s="267"/>
      <c r="M74" s="1079" t="str">
        <f>HYPERLINK("http://kaart.delfi.ee/?bookmark=77b05dbe2b4abf45821ef457cf79588b","Haapsalu, Fra Mare")</f>
        <v>Haapsalu, Fra Mare</v>
      </c>
      <c r="N74" s="205"/>
      <c r="O74" s="68"/>
      <c r="P74" s="68"/>
      <c r="Q74" s="68"/>
      <c r="R74" s="68"/>
    </row>
    <row r="75" spans="1:19" x14ac:dyDescent="0.2">
      <c r="A75" s="124"/>
      <c r="B75" s="80">
        <v>12</v>
      </c>
      <c r="C75" s="124"/>
      <c r="D75" s="80">
        <v>13</v>
      </c>
      <c r="E75" s="124"/>
      <c r="F75" s="80">
        <v>14</v>
      </c>
      <c r="G75" s="188"/>
      <c r="H75" s="171">
        <v>15</v>
      </c>
      <c r="I75" s="124"/>
      <c r="J75" s="80">
        <v>16</v>
      </c>
      <c r="K75" s="1109" t="str">
        <f>HYPERLINK("https://www.petanque.ee/index.php?id=103785&amp;cid=680","10. Katariina karikas")</f>
        <v>10. Katariina karikas</v>
      </c>
      <c r="L75" s="80">
        <v>17</v>
      </c>
      <c r="M75" s="1096" t="str">
        <f>HYPERLINK("https://www.petanque.ee/index.php?id=103785&amp;cid=681","19. Eesti MV")</f>
        <v>19. Eesti MV</v>
      </c>
      <c r="N75" s="100">
        <v>18</v>
      </c>
      <c r="O75" s="68"/>
      <c r="P75" s="92"/>
      <c r="Q75" s="92"/>
      <c r="R75" s="92"/>
      <c r="S75" s="92"/>
    </row>
    <row r="76" spans="1:19" x14ac:dyDescent="0.2">
      <c r="A76" s="124"/>
      <c r="B76" s="79"/>
      <c r="C76" s="124"/>
      <c r="D76" s="79"/>
      <c r="E76" s="124"/>
      <c r="F76" s="86"/>
      <c r="G76" s="84"/>
      <c r="H76" s="272"/>
      <c r="I76" s="124"/>
      <c r="J76" s="79"/>
      <c r="K76" s="107" t="s">
        <v>580</v>
      </c>
      <c r="L76" s="79"/>
      <c r="M76" s="1067" t="s">
        <v>145</v>
      </c>
      <c r="N76" s="273"/>
      <c r="O76" s="68"/>
      <c r="P76" s="68"/>
      <c r="Q76" s="68"/>
      <c r="R76" s="68"/>
      <c r="S76" s="68"/>
    </row>
    <row r="77" spans="1:19" ht="13.5" thickBot="1" x14ac:dyDescent="0.25">
      <c r="A77" s="127"/>
      <c r="B77" s="143"/>
      <c r="C77" s="127"/>
      <c r="D77" s="143"/>
      <c r="E77" s="127"/>
      <c r="F77" s="206"/>
      <c r="G77" s="271"/>
      <c r="H77" s="186"/>
      <c r="I77" s="127"/>
      <c r="J77" s="206"/>
      <c r="K77" s="1066" t="str">
        <f>HYPERLINK("https://kaart.delfi.ee//?bookmark=2bb384d42ffa0c5e5f7907ddcf503cac","Võru")</f>
        <v>Võru</v>
      </c>
      <c r="L77" s="143"/>
      <c r="M77" s="1066" t="str">
        <f>HYPERLINK("https://kaart.delfi.ee//?bookmark=2bb384d42ffa0c5e5f7907ddcf503cac","Võru")</f>
        <v>Võru</v>
      </c>
      <c r="N77" s="205"/>
      <c r="O77" s="68"/>
      <c r="P77" s="68"/>
      <c r="Q77" s="68"/>
      <c r="R77" s="68"/>
      <c r="S77" s="68"/>
    </row>
    <row r="78" spans="1:19" x14ac:dyDescent="0.2">
      <c r="A78" s="124"/>
      <c r="B78" s="80">
        <v>19</v>
      </c>
      <c r="C78" s="1045" t="str">
        <f>HYPERLINK("#13!L1","K-Järve")</f>
        <v>K-Järve</v>
      </c>
      <c r="D78" s="274">
        <v>20</v>
      </c>
      <c r="E78" s="1038" t="str">
        <f>HYPERLINK("#V8!G1","Voka 6. KV")</f>
        <v>Voka 6. KV</v>
      </c>
      <c r="F78" s="82">
        <v>21</v>
      </c>
      <c r="G78" s="188"/>
      <c r="H78" s="80">
        <v>22</v>
      </c>
      <c r="I78" s="124"/>
      <c r="J78" s="80">
        <v>23</v>
      </c>
      <c r="K78" s="258"/>
      <c r="L78" s="98">
        <v>24</v>
      </c>
      <c r="M78" s="1088" t="str">
        <f>HYPERLINK("#Vi-ü!G1","Viru SK lahtised MV")</f>
        <v>Viru SK lahtised MV</v>
      </c>
      <c r="N78" s="200">
        <v>25</v>
      </c>
      <c r="O78" s="68"/>
      <c r="P78" s="68"/>
      <c r="Q78" s="68"/>
      <c r="R78" s="68"/>
      <c r="S78" s="68"/>
    </row>
    <row r="79" spans="1:19" x14ac:dyDescent="0.2">
      <c r="A79" s="124"/>
      <c r="B79" s="156"/>
      <c r="C79" s="1046" t="s">
        <v>159</v>
      </c>
      <c r="D79" s="212"/>
      <c r="E79" s="1039" t="s">
        <v>160</v>
      </c>
      <c r="F79" s="154"/>
      <c r="G79" s="188"/>
      <c r="H79" s="156"/>
      <c r="I79" s="86"/>
      <c r="J79" s="86"/>
      <c r="K79" s="275"/>
      <c r="L79" s="92"/>
      <c r="M79" s="1082" t="s">
        <v>138</v>
      </c>
      <c r="N79" s="190"/>
      <c r="O79" s="68"/>
      <c r="P79" s="68"/>
      <c r="Q79" s="68"/>
      <c r="R79" s="68"/>
      <c r="S79" s="68"/>
    </row>
    <row r="80" spans="1:19" x14ac:dyDescent="0.2">
      <c r="A80" s="124"/>
      <c r="B80" s="156"/>
      <c r="C80" s="1047" t="s">
        <v>138</v>
      </c>
      <c r="D80" s="212"/>
      <c r="E80" s="153" t="str">
        <f>HYPERLINK("https://kaart.delfi.ee//?bookmark=ebd616e171f4882941c876d5ba118858","Voka")</f>
        <v>Voka</v>
      </c>
      <c r="F80" s="154"/>
      <c r="G80" s="188"/>
      <c r="H80" s="156"/>
      <c r="I80" s="86"/>
      <c r="J80" s="86"/>
      <c r="K80" s="1080"/>
      <c r="L80" s="264"/>
      <c r="M80" s="1083" t="str">
        <f>HYPERLINK("https://kaart.delfi.ee//?bookmark=ebd616e171f4882941c876d5ba118858","Voka")</f>
        <v>Voka</v>
      </c>
      <c r="N80" s="276"/>
      <c r="O80" s="68"/>
      <c r="P80" s="68"/>
      <c r="Q80" s="68"/>
      <c r="R80" s="68"/>
      <c r="S80" s="68"/>
    </row>
    <row r="81" spans="1:19" x14ac:dyDescent="0.2">
      <c r="A81" s="124"/>
      <c r="B81" s="156"/>
      <c r="C81" s="1048" t="str">
        <f>HYPERLINK("https://kaart.delfi.ee/?bookmark=521b80d6ceeefbe3e5d227267242b576","K-Järve")</f>
        <v>K-Järve</v>
      </c>
      <c r="D81" s="175"/>
      <c r="E81" s="1039"/>
      <c r="F81" s="154"/>
      <c r="G81" s="188"/>
      <c r="H81" s="156"/>
      <c r="I81" s="86"/>
      <c r="J81" s="86"/>
      <c r="K81" s="277" t="s">
        <v>582</v>
      </c>
      <c r="L81" s="278" t="str">
        <f>HYPERLINK("https://www.facebook.com/events/261407644736159/","inf")</f>
        <v>inf</v>
      </c>
      <c r="M81" s="277" t="s">
        <v>581</v>
      </c>
      <c r="N81" s="151" t="str">
        <f>HYPERLINK("https://upesciems.lv/f-petcup19.html","fot")</f>
        <v>fot</v>
      </c>
      <c r="O81" s="68"/>
      <c r="P81" s="213"/>
      <c r="Q81" s="68"/>
      <c r="R81" s="68"/>
      <c r="S81" s="68"/>
    </row>
    <row r="82" spans="1:19" hidden="1" x14ac:dyDescent="0.2">
      <c r="A82" s="124"/>
      <c r="B82" s="156"/>
      <c r="C82" s="279"/>
      <c r="D82" s="175"/>
      <c r="E82" s="1039"/>
      <c r="F82" s="154"/>
      <c r="G82" s="188"/>
      <c r="H82" s="156"/>
      <c r="I82" s="86"/>
      <c r="J82" s="86"/>
      <c r="K82" s="280" t="s">
        <v>125</v>
      </c>
      <c r="M82" s="280" t="s">
        <v>134</v>
      </c>
      <c r="N82" s="108"/>
      <c r="O82" s="68"/>
      <c r="P82" s="281"/>
      <c r="Q82" s="68"/>
      <c r="R82" s="68"/>
      <c r="S82" s="68"/>
    </row>
    <row r="83" spans="1:19" ht="13.5" thickBot="1" x14ac:dyDescent="0.25">
      <c r="A83" s="127"/>
      <c r="B83" s="206"/>
      <c r="C83" s="282"/>
      <c r="D83" s="283"/>
      <c r="E83" s="1044"/>
      <c r="F83" s="160"/>
      <c r="G83" s="127"/>
      <c r="H83" s="206"/>
      <c r="I83" s="143"/>
      <c r="J83" s="143"/>
      <c r="K83" s="284" t="s">
        <v>161</v>
      </c>
      <c r="L83" s="285" t="str">
        <f>HYPERLINK("https://upesciems.lv/new/2019_warriors_TRI_final.pdf","tul")</f>
        <v>tul</v>
      </c>
      <c r="M83" s="286" t="str">
        <f>HYPERLINK("https://upesciems.lv/f-petcup19_2.html","fot")</f>
        <v>fot</v>
      </c>
      <c r="N83" s="287" t="str">
        <f>HYPERLINK("https://upesciems.lv/new/2019_warriors_DUO_final.pdf","tul")</f>
        <v>tul</v>
      </c>
      <c r="O83" s="68"/>
      <c r="P83" s="68"/>
      <c r="Q83" s="68"/>
      <c r="R83" s="68"/>
      <c r="S83" s="68"/>
    </row>
    <row r="84" spans="1:19" ht="13.5" thickBot="1" x14ac:dyDescent="0.25">
      <c r="A84" s="147"/>
      <c r="B84" s="98">
        <v>26</v>
      </c>
      <c r="C84" s="147"/>
      <c r="D84" s="98">
        <v>27</v>
      </c>
      <c r="E84" s="81"/>
      <c r="F84" s="98">
        <v>28</v>
      </c>
      <c r="G84" s="147"/>
      <c r="H84" s="98">
        <v>29</v>
      </c>
      <c r="I84" s="147"/>
      <c r="J84" s="98">
        <v>30</v>
      </c>
      <c r="K84" s="124"/>
      <c r="L84" s="288">
        <v>31</v>
      </c>
      <c r="M84" s="289"/>
      <c r="N84" s="92"/>
      <c r="O84" s="68"/>
      <c r="P84" s="68"/>
      <c r="Q84" s="68"/>
      <c r="R84" s="68"/>
      <c r="S84" s="68"/>
    </row>
    <row r="85" spans="1:19" x14ac:dyDescent="0.2">
      <c r="A85" s="124"/>
      <c r="B85" s="86"/>
      <c r="C85" s="124"/>
      <c r="D85" s="86"/>
      <c r="E85" s="124"/>
      <c r="F85" s="86"/>
      <c r="G85" s="124"/>
      <c r="H85" s="86"/>
      <c r="I85" s="124"/>
      <c r="J85" s="86"/>
      <c r="K85" s="124"/>
      <c r="L85" s="176"/>
      <c r="M85" s="1053" t="str">
        <f>HYPERLINK("#8!I'1","Jõhvi 19. MV")</f>
        <v>Jõhvi 19. MV</v>
      </c>
      <c r="N85" s="171">
        <v>1</v>
      </c>
      <c r="O85" s="68"/>
      <c r="P85" s="68"/>
      <c r="Q85" s="68"/>
      <c r="R85" s="68"/>
      <c r="S85" s="68"/>
    </row>
    <row r="86" spans="1:19" ht="13.5" thickBot="1" x14ac:dyDescent="0.25">
      <c r="A86" s="127"/>
      <c r="B86" s="143"/>
      <c r="C86" s="127"/>
      <c r="D86" s="143"/>
      <c r="E86" s="184"/>
      <c r="F86" s="143"/>
      <c r="G86" s="127"/>
      <c r="H86" s="143"/>
      <c r="I86" s="127"/>
      <c r="J86" s="143"/>
      <c r="K86" s="127"/>
      <c r="L86" s="170"/>
      <c r="M86" s="1049" t="s">
        <v>138</v>
      </c>
      <c r="N86" s="212"/>
      <c r="O86" s="68"/>
      <c r="P86" s="68"/>
      <c r="Q86" s="68"/>
      <c r="R86" s="68"/>
      <c r="S86" s="68"/>
    </row>
    <row r="87" spans="1:19" ht="13.5" thickBot="1" x14ac:dyDescent="0.25">
      <c r="A87" s="290" t="s">
        <v>77</v>
      </c>
      <c r="B87" s="291"/>
      <c r="C87" s="292"/>
      <c r="D87" s="86"/>
      <c r="E87" s="293"/>
      <c r="F87" s="86"/>
      <c r="G87" s="86"/>
      <c r="H87" s="86"/>
      <c r="I87" s="86"/>
      <c r="J87" s="86"/>
      <c r="K87" s="86"/>
      <c r="L87" s="176"/>
      <c r="M87" s="1097" t="str">
        <f>HYPERLINK("https://kaart.delfi.ee/?bookmark=4c0b1b0c24ff9f4919899a9546bf50f1","Jõhvi, Neptun")</f>
        <v>Jõhvi, Neptun</v>
      </c>
      <c r="N87" s="294"/>
      <c r="O87" s="68"/>
      <c r="P87" s="68"/>
      <c r="Q87" s="68"/>
      <c r="R87" s="68"/>
      <c r="S87" s="68"/>
    </row>
    <row r="88" spans="1:19" x14ac:dyDescent="0.2">
      <c r="A88" s="147"/>
      <c r="B88" s="98">
        <v>2</v>
      </c>
      <c r="C88" s="147"/>
      <c r="D88" s="98">
        <v>3</v>
      </c>
      <c r="E88" s="1038" t="str">
        <f>HYPERLINK("#V9!G1","Voka 6. KV")</f>
        <v>Voka 6. KV</v>
      </c>
      <c r="F88" s="98">
        <v>4</v>
      </c>
      <c r="G88" s="147"/>
      <c r="H88" s="98">
        <v>5</v>
      </c>
      <c r="I88" s="147"/>
      <c r="J88" s="98">
        <v>6</v>
      </c>
      <c r="K88" s="295" t="str">
        <f>HYPERLINK("https://www.petanque.ee/index.php?id=103785&amp;cid=682","26. Eesti-Soome")</f>
        <v>26. Eesti-Soome</v>
      </c>
      <c r="L88" s="98">
        <v>7</v>
      </c>
      <c r="M88" s="1051" t="str">
        <f>HYPERLINK("#iv-d!G1","Ida-Virumaa MV")</f>
        <v>Ida-Virumaa MV</v>
      </c>
      <c r="N88" s="223">
        <v>8</v>
      </c>
      <c r="O88" s="68"/>
      <c r="P88" s="68"/>
      <c r="Q88" s="68"/>
      <c r="R88" s="68"/>
      <c r="S88" s="68"/>
    </row>
    <row r="89" spans="1:19" x14ac:dyDescent="0.2">
      <c r="A89" s="124"/>
      <c r="B89" s="79"/>
      <c r="C89" s="124"/>
      <c r="D89" s="79"/>
      <c r="E89" s="1039" t="s">
        <v>162</v>
      </c>
      <c r="F89" s="154"/>
      <c r="G89" s="124"/>
      <c r="H89" s="79"/>
      <c r="I89" s="124"/>
      <c r="J89" s="79"/>
      <c r="K89" s="296" t="s">
        <v>163</v>
      </c>
      <c r="L89" s="79"/>
      <c r="M89" s="279" t="s">
        <v>138</v>
      </c>
      <c r="N89" s="212"/>
      <c r="O89" s="68"/>
      <c r="P89" s="68"/>
      <c r="Q89" s="68"/>
      <c r="R89" s="68"/>
      <c r="S89" s="68"/>
    </row>
    <row r="90" spans="1:19" ht="13.5" thickBot="1" x14ac:dyDescent="0.25">
      <c r="A90" s="127"/>
      <c r="B90" s="128"/>
      <c r="C90" s="127"/>
      <c r="D90" s="128"/>
      <c r="E90" s="159" t="str">
        <f>HYPERLINK("https://kaart.delfi.ee//?bookmark=ebd616e171f4882941c876d5ba118858","Voka")</f>
        <v>Voka</v>
      </c>
      <c r="F90" s="160"/>
      <c r="G90" s="113"/>
      <c r="H90" s="128"/>
      <c r="I90" s="127"/>
      <c r="J90" s="128"/>
      <c r="K90" s="297" t="str">
        <f>HYPERLINK("https://kaart.delfi.ee/?bookmark=b43a59a8c011e00b2ca163e666a9bf3f","Tallinn, Pirita")</f>
        <v>Tallinn, Pirita</v>
      </c>
      <c r="L90" s="86"/>
      <c r="M90" s="1098" t="str">
        <f>HYPERLINK("https://kaart.delfi.ee//?bookmark=ebd616e171f4882941c876d5ba118858","Voka")</f>
        <v>Voka</v>
      </c>
      <c r="N90" s="225"/>
      <c r="O90" s="68"/>
      <c r="P90" s="68"/>
      <c r="Q90" s="68"/>
      <c r="R90" s="68"/>
      <c r="S90" s="68"/>
    </row>
    <row r="91" spans="1:19" x14ac:dyDescent="0.2">
      <c r="A91" s="124"/>
      <c r="B91" s="80">
        <v>9</v>
      </c>
      <c r="C91" s="124"/>
      <c r="D91" s="80">
        <v>10</v>
      </c>
      <c r="E91" s="124"/>
      <c r="F91" s="80">
        <v>11</v>
      </c>
      <c r="G91" s="124"/>
      <c r="H91" s="80">
        <v>12</v>
      </c>
      <c r="I91" s="124"/>
      <c r="J91" s="80">
        <v>13</v>
      </c>
      <c r="K91" s="198" t="str">
        <f>HYPERLINK("https://www.petanque.ee/index.php?id=103681&amp;cid=707","A.Sirkeli 3.mälestusvõistlus")</f>
        <v>A.Sirkeli 3.mälestusvõistlus</v>
      </c>
      <c r="L91" s="171">
        <v>14</v>
      </c>
      <c r="M91" s="124"/>
      <c r="N91" s="82">
        <v>15</v>
      </c>
      <c r="O91" s="68"/>
      <c r="P91" s="213"/>
      <c r="Q91" s="68"/>
      <c r="R91" s="68"/>
      <c r="S91" s="68"/>
    </row>
    <row r="92" spans="1:19" x14ac:dyDescent="0.2">
      <c r="A92" s="124"/>
      <c r="B92" s="79"/>
      <c r="C92" s="124"/>
      <c r="D92" s="79"/>
      <c r="E92" s="124"/>
      <c r="F92" s="79"/>
      <c r="G92" s="124"/>
      <c r="H92" s="86"/>
      <c r="I92" s="124"/>
      <c r="J92" s="86"/>
      <c r="K92" s="124" t="s">
        <v>134</v>
      </c>
      <c r="L92" s="156"/>
      <c r="M92" s="124"/>
      <c r="N92" s="108"/>
      <c r="O92" s="68"/>
      <c r="P92" s="281"/>
      <c r="Q92" s="68"/>
      <c r="R92" s="68"/>
      <c r="S92" s="68"/>
    </row>
    <row r="93" spans="1:19" ht="13.5" thickBot="1" x14ac:dyDescent="0.25">
      <c r="A93" s="127"/>
      <c r="B93" s="143"/>
      <c r="C93" s="127"/>
      <c r="D93" s="143"/>
      <c r="E93" s="127"/>
      <c r="F93" s="143"/>
      <c r="G93" s="127"/>
      <c r="H93" s="143"/>
      <c r="I93" s="127"/>
      <c r="J93" s="143"/>
      <c r="K93" s="203" t="str">
        <f>HYPERLINK("https://kaart.delfi.ee/?bookmark=53aec558b690b02b27df1711c64cd764","Tartu, ERMi viinaköök")</f>
        <v>Tartu, ERMi viinaköök</v>
      </c>
      <c r="L93" s="298" t="str">
        <f>HYPERLINK("http://turna.ee/swiss.php?tid=248","tul")</f>
        <v>tul</v>
      </c>
      <c r="M93" s="127"/>
      <c r="N93" s="206"/>
      <c r="O93" s="68"/>
      <c r="P93" s="68"/>
      <c r="Q93" s="68"/>
      <c r="R93" s="68"/>
      <c r="S93" s="68"/>
    </row>
    <row r="94" spans="1:19" x14ac:dyDescent="0.2">
      <c r="A94" s="124"/>
      <c r="B94" s="80">
        <v>16</v>
      </c>
      <c r="C94" s="124"/>
      <c r="D94" s="80">
        <v>17</v>
      </c>
      <c r="E94" s="1038" t="str">
        <f>HYPERLINK("#V10!G1","Voka 6. KV")</f>
        <v>Voka 6. KV</v>
      </c>
      <c r="F94" s="80">
        <v>18</v>
      </c>
      <c r="G94" s="124"/>
      <c r="H94" s="80">
        <v>19</v>
      </c>
      <c r="I94" s="124"/>
      <c r="J94" s="80">
        <v>20</v>
      </c>
      <c r="K94" s="124"/>
      <c r="L94" s="80">
        <v>21</v>
      </c>
      <c r="M94" s="124"/>
      <c r="N94" s="82">
        <v>22</v>
      </c>
      <c r="O94" s="68"/>
      <c r="P94" s="68"/>
      <c r="Q94" s="299" t="str">
        <f>HYPERLINK("#'V-PL'!w1","Toila valla 3.lahtised MV")</f>
        <v>Toila valla 3.lahtised MV</v>
      </c>
      <c r="R94" s="171" t="s">
        <v>164</v>
      </c>
      <c r="S94" s="68"/>
    </row>
    <row r="95" spans="1:19" x14ac:dyDescent="0.2">
      <c r="A95" s="191"/>
      <c r="B95" s="189"/>
      <c r="C95" s="86"/>
      <c r="D95" s="86"/>
      <c r="E95" s="1039" t="s">
        <v>165</v>
      </c>
      <c r="F95" s="300"/>
      <c r="G95" s="86"/>
      <c r="H95" s="86"/>
      <c r="I95" s="191"/>
      <c r="J95" s="189"/>
      <c r="K95" s="86"/>
      <c r="L95" s="86"/>
      <c r="M95" s="191"/>
      <c r="N95" s="189"/>
      <c r="O95" s="68"/>
      <c r="P95" s="68"/>
      <c r="Q95" s="301" t="s">
        <v>166</v>
      </c>
      <c r="R95" s="302"/>
      <c r="S95" s="68"/>
    </row>
    <row r="96" spans="1:19" x14ac:dyDescent="0.2">
      <c r="A96" s="191"/>
      <c r="B96" s="189"/>
      <c r="C96" s="303"/>
      <c r="D96" s="192"/>
      <c r="E96" s="1103" t="str">
        <f>HYPERLINK("https://kaart.delfi.ee/?bookmark=236e0f8de3f3d8e7138807663f9b5d14","Voka petangihall")</f>
        <v>Voka petangihall</v>
      </c>
      <c r="F96" s="304"/>
      <c r="G96" s="192"/>
      <c r="H96" s="86"/>
      <c r="I96" s="191"/>
      <c r="J96" s="189"/>
      <c r="K96" s="86"/>
      <c r="L96" s="86"/>
      <c r="M96" s="191"/>
      <c r="N96" s="189"/>
      <c r="O96" s="68"/>
      <c r="P96" s="68"/>
      <c r="Q96" s="301" t="s">
        <v>138</v>
      </c>
      <c r="R96" s="305"/>
      <c r="S96" s="68"/>
    </row>
    <row r="97" spans="1:19" ht="13.5" thickBot="1" x14ac:dyDescent="0.25">
      <c r="A97" s="306"/>
      <c r="B97" s="307"/>
      <c r="C97" s="308"/>
      <c r="D97" s="309"/>
      <c r="E97" s="308"/>
      <c r="F97" s="310" t="s">
        <v>167</v>
      </c>
      <c r="G97" s="311"/>
      <c r="H97" s="312"/>
      <c r="I97" s="313"/>
      <c r="J97" s="314"/>
      <c r="K97" s="315" t="s">
        <v>168</v>
      </c>
      <c r="L97" s="314"/>
      <c r="M97" s="314"/>
      <c r="N97" s="316"/>
      <c r="O97" s="317"/>
      <c r="P97" s="68"/>
      <c r="Q97" s="318" t="str">
        <f>HYPERLINK("https://kaart.delfi.ee//?bookmark=ebd616e171f4882941c876d5ba118858","Voka")</f>
        <v>Voka</v>
      </c>
      <c r="R97" s="319"/>
      <c r="S97" s="68"/>
    </row>
    <row r="98" spans="1:19" ht="13.5" thickBot="1" x14ac:dyDescent="0.25">
      <c r="A98" s="127"/>
      <c r="B98" s="143"/>
      <c r="C98" s="320" t="str">
        <f>HYPERLINK("","Albena (Bulgaaria)")</f>
        <v>Albena (Bulgaaria)</v>
      </c>
      <c r="D98" s="321"/>
      <c r="E98" s="322"/>
      <c r="F98" s="71" t="str">
        <f>HYPERLINK("https://www.cep-petanque.com/veterans.html","inf")</f>
        <v>inf</v>
      </c>
      <c r="G98" s="127"/>
      <c r="H98" s="143"/>
      <c r="I98" s="143"/>
      <c r="J98" s="320"/>
      <c r="K98" s="321" t="str">
        <f>HYPERLINK("","Albena (Bulgaaria)")</f>
        <v>Albena (Bulgaaria)</v>
      </c>
      <c r="L98" s="71" t="str">
        <f>HYPERLINK("https://www.cep-petanque.com/men.html","inf")</f>
        <v>inf</v>
      </c>
      <c r="M98" s="143"/>
      <c r="N98" s="206"/>
      <c r="O98" s="317"/>
      <c r="P98" s="68"/>
      <c r="Q98" s="68"/>
      <c r="R98" s="68"/>
      <c r="S98" s="68"/>
    </row>
    <row r="99" spans="1:19" x14ac:dyDescent="0.2">
      <c r="A99" s="147"/>
      <c r="B99" s="98">
        <v>23</v>
      </c>
      <c r="C99" s="147"/>
      <c r="D99" s="98">
        <v>24</v>
      </c>
      <c r="E99" s="147"/>
      <c r="F99" s="98">
        <v>25</v>
      </c>
      <c r="G99" s="147"/>
      <c r="H99" s="98">
        <v>26</v>
      </c>
      <c r="I99" s="147"/>
      <c r="J99" s="98">
        <v>27</v>
      </c>
      <c r="K99" s="147"/>
      <c r="L99" s="98">
        <v>28</v>
      </c>
      <c r="M99" s="1099" t="str">
        <f>HYPERLINK("#'V-Fin'!K1","Voka 6.KV superfinaal")</f>
        <v>Voka 6.KV superfinaal</v>
      </c>
      <c r="N99" s="171">
        <v>29</v>
      </c>
      <c r="O99" s="68"/>
      <c r="P99" s="68"/>
      <c r="R99" s="68"/>
      <c r="S99" s="68"/>
    </row>
    <row r="100" spans="1:19" x14ac:dyDescent="0.2">
      <c r="A100" s="124"/>
      <c r="B100" s="79"/>
      <c r="C100" s="124"/>
      <c r="D100" s="79"/>
      <c r="E100" s="124"/>
      <c r="F100" s="79"/>
      <c r="G100" s="124"/>
      <c r="H100" s="79"/>
      <c r="I100" s="124"/>
      <c r="J100" s="79"/>
      <c r="K100" s="124"/>
      <c r="L100" s="79"/>
      <c r="M100" s="1100" t="s">
        <v>138</v>
      </c>
      <c r="N100" s="323"/>
      <c r="O100" s="68"/>
      <c r="P100" s="68"/>
      <c r="R100" s="68"/>
      <c r="S100" s="68"/>
    </row>
    <row r="101" spans="1:19" ht="13.5" thickBot="1" x14ac:dyDescent="0.25">
      <c r="A101" s="127"/>
      <c r="B101" s="143"/>
      <c r="C101" s="127"/>
      <c r="D101" s="143"/>
      <c r="E101" s="127"/>
      <c r="F101" s="143"/>
      <c r="G101" s="127"/>
      <c r="H101" s="143"/>
      <c r="I101" s="127"/>
      <c r="J101" s="143"/>
      <c r="K101" s="127"/>
      <c r="L101" s="143"/>
      <c r="M101" s="1102" t="str">
        <f>HYPERLINK("https://kaart.delfi.ee/?bookmark=236e0f8de3f3d8e7138807663f9b5d14","Voka petangihall")</f>
        <v>Voka petangihall</v>
      </c>
      <c r="N101" s="324"/>
      <c r="O101" s="68"/>
    </row>
    <row r="102" spans="1:19" ht="13.5" thickBot="1" x14ac:dyDescent="0.25">
      <c r="A102" s="290" t="s">
        <v>89</v>
      </c>
      <c r="B102" s="291"/>
      <c r="C102" s="292"/>
      <c r="D102" s="79"/>
      <c r="E102" s="86"/>
      <c r="F102" s="79"/>
      <c r="G102" s="86"/>
      <c r="H102" s="79"/>
      <c r="I102" s="86"/>
      <c r="J102" s="79"/>
      <c r="K102" s="86"/>
      <c r="L102" s="79"/>
      <c r="M102" s="86"/>
      <c r="N102" s="79"/>
      <c r="O102" s="325"/>
    </row>
    <row r="103" spans="1:19" x14ac:dyDescent="0.2">
      <c r="A103" s="147"/>
      <c r="B103" s="165">
        <v>30</v>
      </c>
      <c r="C103" s="228"/>
      <c r="D103" s="98">
        <v>1</v>
      </c>
      <c r="E103" s="147"/>
      <c r="F103" s="98">
        <v>2</v>
      </c>
      <c r="G103" s="326"/>
      <c r="H103" s="171">
        <v>3</v>
      </c>
      <c r="I103" s="228"/>
      <c r="J103" s="98">
        <v>4</v>
      </c>
      <c r="K103" s="327"/>
      <c r="L103" s="171">
        <v>5</v>
      </c>
      <c r="M103" s="328" t="str">
        <f>HYPERLINK("#L!W1","Hooaja lõpetamine")</f>
        <v>Hooaja lõpetamine</v>
      </c>
      <c r="N103" s="171">
        <v>6</v>
      </c>
      <c r="O103" s="68"/>
      <c r="Q103" s="329" t="str">
        <f>HYPERLINK("#'V-Ex'!K1","Ekstreempetank")</f>
        <v>Ekstreempetank</v>
      </c>
      <c r="R103" s="171">
        <v>6</v>
      </c>
    </row>
    <row r="104" spans="1:19" x14ac:dyDescent="0.2">
      <c r="A104" s="124"/>
      <c r="B104" s="168"/>
      <c r="C104" s="86"/>
      <c r="D104" s="79"/>
      <c r="E104" s="124"/>
      <c r="F104" s="79"/>
      <c r="G104" s="330"/>
      <c r="H104" s="317"/>
      <c r="I104" s="331"/>
      <c r="J104" s="332"/>
      <c r="K104" s="317"/>
      <c r="L104" s="333"/>
      <c r="M104" s="1101" t="s">
        <v>169</v>
      </c>
      <c r="N104" s="334"/>
      <c r="O104" s="68"/>
      <c r="Q104" s="335" t="s">
        <v>138</v>
      </c>
      <c r="R104" s="334"/>
    </row>
    <row r="105" spans="1:19" ht="13.5" thickBot="1" x14ac:dyDescent="0.25">
      <c r="A105" s="124"/>
      <c r="B105" s="168"/>
      <c r="C105" s="86"/>
      <c r="D105" s="79"/>
      <c r="E105" s="124"/>
      <c r="F105" s="79"/>
      <c r="G105" s="336"/>
      <c r="H105" s="337"/>
      <c r="I105" s="338"/>
      <c r="J105" s="339"/>
      <c r="K105" s="340"/>
      <c r="L105" s="231"/>
      <c r="M105" s="341" t="str">
        <f>HYPERLINK("https://kaart.delfi.ee/?bookmark=521b80d6ceeefbe3e5d227267242b576","K-Järve")</f>
        <v>K-Järve</v>
      </c>
      <c r="N105" s="342"/>
      <c r="O105" s="68"/>
      <c r="Q105" s="343" t="str">
        <f>HYPERLINK("https://kaart.delfi.ee//?bookmark=ebd616e171f4882941c876d5ba118858","Voka")</f>
        <v>Voka</v>
      </c>
      <c r="R105" s="344"/>
    </row>
    <row r="106" spans="1:19" x14ac:dyDescent="0.2">
      <c r="A106" s="124"/>
      <c r="B106" s="168"/>
      <c r="C106" s="86"/>
      <c r="D106" s="79"/>
      <c r="E106" s="124"/>
      <c r="F106" s="79"/>
      <c r="G106" s="345"/>
      <c r="H106" s="346"/>
      <c r="I106" s="314"/>
      <c r="J106" s="307"/>
      <c r="K106" s="315" t="s">
        <v>583</v>
      </c>
      <c r="L106" s="307"/>
      <c r="M106" s="346"/>
      <c r="N106" s="316"/>
      <c r="O106" s="68"/>
      <c r="P106" s="68"/>
      <c r="Q106" s="68"/>
      <c r="R106" s="68"/>
      <c r="S106" s="68"/>
    </row>
    <row r="107" spans="1:19" ht="13.5" thickBot="1" x14ac:dyDescent="0.25">
      <c r="A107" s="124"/>
      <c r="B107" s="176"/>
      <c r="C107" s="86"/>
      <c r="D107" s="86"/>
      <c r="E107" s="124"/>
      <c r="F107" s="86"/>
      <c r="G107" s="347"/>
      <c r="H107" s="348"/>
      <c r="I107" s="348"/>
      <c r="J107" s="349"/>
      <c r="K107" s="350" t="str">
        <f>HYPERLINK("https://www.google.com/maps/place/Boulodrome+Henri+Salvador/@49.2868501,1.0464518,15z/data=!4m5!3m4!1s0x0:0x6679752e727b4f2b!8m2!3d49.2868501!4d1.0464518","Saint-Pierre-lès-Elbeuf (Prantsusmaa)")</f>
        <v>Saint-Pierre-lès-Elbeuf (Prantsusmaa)</v>
      </c>
      <c r="L107" s="348"/>
      <c r="M107" s="349"/>
      <c r="N107" s="351"/>
      <c r="O107" s="68"/>
      <c r="P107" s="68"/>
      <c r="Q107" s="68"/>
      <c r="R107" s="68"/>
      <c r="S107" s="68"/>
    </row>
    <row r="108" spans="1:19" ht="13.5" thickBot="1" x14ac:dyDescent="0.25">
      <c r="A108" s="254"/>
      <c r="B108" s="254"/>
      <c r="C108" s="254"/>
      <c r="D108" s="254"/>
      <c r="E108" s="352"/>
      <c r="F108" s="254"/>
      <c r="G108" s="353"/>
      <c r="H108" s="254"/>
      <c r="I108" s="254"/>
      <c r="J108" s="255"/>
      <c r="K108" s="354"/>
      <c r="L108" s="254"/>
      <c r="M108" s="255"/>
      <c r="N108" s="254"/>
      <c r="O108" s="68"/>
      <c r="P108" s="68"/>
      <c r="Q108" s="68"/>
      <c r="R108" s="68"/>
      <c r="S108" s="68"/>
    </row>
    <row r="109" spans="1:19" x14ac:dyDescent="0.2">
      <c r="A109" s="124"/>
      <c r="B109" s="80">
        <v>21</v>
      </c>
      <c r="C109" s="124"/>
      <c r="D109" s="80">
        <v>22</v>
      </c>
      <c r="E109" s="124"/>
      <c r="F109" s="80">
        <v>23</v>
      </c>
      <c r="G109" s="124"/>
      <c r="H109" s="80">
        <v>25</v>
      </c>
      <c r="I109" s="124"/>
      <c r="J109" s="80">
        <v>25</v>
      </c>
      <c r="K109" s="124"/>
      <c r="L109" s="80">
        <v>26</v>
      </c>
      <c r="M109" s="355" t="str">
        <f>HYPERLINK("http://www.petanque.ee/index.php?id=103778&amp;cid=632","Eesti reiting")</f>
        <v>Eesti reiting</v>
      </c>
      <c r="N109" s="82">
        <v>27</v>
      </c>
      <c r="O109" s="68"/>
      <c r="P109" s="7"/>
      <c r="Q109" s="68"/>
      <c r="R109" s="68"/>
      <c r="S109" s="68"/>
    </row>
    <row r="110" spans="1:19" x14ac:dyDescent="0.2">
      <c r="A110" s="124"/>
      <c r="B110" s="79"/>
      <c r="C110" s="124"/>
      <c r="D110" s="79"/>
      <c r="E110" s="124"/>
      <c r="F110" s="356"/>
      <c r="G110" s="86"/>
      <c r="H110" s="79"/>
      <c r="I110" s="124"/>
      <c r="J110" s="79"/>
      <c r="K110" s="124"/>
      <c r="L110" s="79"/>
      <c r="M110" s="357" t="s">
        <v>125</v>
      </c>
      <c r="N110" s="108"/>
      <c r="O110" s="68"/>
      <c r="P110" s="7"/>
      <c r="Q110" s="68"/>
      <c r="R110" s="68"/>
      <c r="S110" s="68"/>
    </row>
    <row r="111" spans="1:19" ht="13.5" thickBot="1" x14ac:dyDescent="0.25">
      <c r="A111" s="127"/>
      <c r="B111" s="143"/>
      <c r="C111" s="127"/>
      <c r="D111" s="206"/>
      <c r="E111" s="127"/>
      <c r="F111" s="132"/>
      <c r="G111" s="358"/>
      <c r="H111" s="143"/>
      <c r="I111" s="127"/>
      <c r="J111" s="143"/>
      <c r="K111" s="127"/>
      <c r="L111" s="143"/>
      <c r="M111" s="359" t="str">
        <f>HYPERLINK("https://kaart.delfi.ee/?bookmark=0807568cf7d8a03cedbb545921254497","Tallinn, Algi 38")</f>
        <v>Tallinn, Algi 38</v>
      </c>
      <c r="N111" s="206"/>
      <c r="O111" s="68"/>
      <c r="P111" s="68"/>
      <c r="Q111" s="68"/>
      <c r="R111" s="68"/>
      <c r="S111" s="68"/>
    </row>
    <row r="112" spans="1:19" ht="13.5" thickBot="1" x14ac:dyDescent="0.25">
      <c r="A112" s="290" t="s">
        <v>170</v>
      </c>
      <c r="B112" s="291"/>
      <c r="C112" s="292"/>
      <c r="D112" s="86"/>
      <c r="E112" s="228"/>
      <c r="F112" s="228"/>
      <c r="G112" s="360"/>
      <c r="H112" s="86"/>
      <c r="I112" s="86"/>
      <c r="J112" s="86"/>
      <c r="K112" s="86"/>
      <c r="L112" s="86"/>
      <c r="M112" s="86"/>
      <c r="N112" s="86"/>
      <c r="O112" s="68"/>
      <c r="P112" s="68"/>
      <c r="Q112" s="68"/>
      <c r="R112" s="68"/>
      <c r="S112" s="68"/>
    </row>
    <row r="113" spans="1:19" x14ac:dyDescent="0.2">
      <c r="A113" s="147"/>
      <c r="B113" s="171">
        <v>18</v>
      </c>
      <c r="C113" s="147"/>
      <c r="D113" s="171">
        <v>19</v>
      </c>
      <c r="E113" s="147"/>
      <c r="F113" s="171">
        <v>20</v>
      </c>
      <c r="G113" s="147"/>
      <c r="H113" s="179">
        <v>21</v>
      </c>
      <c r="I113" s="147"/>
      <c r="J113" s="180">
        <v>22</v>
      </c>
      <c r="K113" s="147"/>
      <c r="L113" s="98">
        <v>23</v>
      </c>
      <c r="M113" s="147"/>
      <c r="N113" s="171">
        <v>24</v>
      </c>
      <c r="O113" s="68"/>
      <c r="P113" s="68"/>
      <c r="Q113" s="68"/>
      <c r="R113" s="68"/>
      <c r="S113" s="68"/>
    </row>
    <row r="114" spans="1:19" x14ac:dyDescent="0.2">
      <c r="A114" s="330"/>
      <c r="B114" s="270"/>
      <c r="C114" s="309"/>
      <c r="D114" s="361"/>
      <c r="E114" s="362"/>
      <c r="F114" s="363"/>
      <c r="G114" s="364"/>
      <c r="H114" s="365"/>
      <c r="I114" s="366" t="s">
        <v>171</v>
      </c>
      <c r="J114" s="367" t="s">
        <v>172</v>
      </c>
      <c r="K114" s="362"/>
      <c r="L114" s="368" t="s">
        <v>173</v>
      </c>
      <c r="M114" s="86"/>
      <c r="N114" s="369"/>
      <c r="O114" s="68"/>
      <c r="P114" s="68"/>
      <c r="Q114" s="68"/>
      <c r="R114" s="68"/>
      <c r="S114" s="68"/>
    </row>
    <row r="115" spans="1:19" ht="13.5" thickBot="1" x14ac:dyDescent="0.25">
      <c r="A115" s="370"/>
      <c r="B115" s="114"/>
      <c r="C115" s="371"/>
      <c r="D115" s="372"/>
      <c r="E115" s="373"/>
      <c r="F115" s="374"/>
      <c r="G115" s="375" t="s">
        <v>174</v>
      </c>
      <c r="H115" s="376"/>
      <c r="I115" s="377"/>
      <c r="J115" s="377"/>
      <c r="K115" s="373"/>
      <c r="L115" s="114"/>
      <c r="M115" s="378"/>
      <c r="N115" s="379"/>
      <c r="O115" s="68"/>
      <c r="P115" s="68"/>
      <c r="Q115" s="68"/>
      <c r="R115" s="68"/>
      <c r="S115" s="68"/>
    </row>
    <row r="116" spans="1:19" x14ac:dyDescent="0.2">
      <c r="A116" s="147"/>
      <c r="B116" s="171">
        <v>25</v>
      </c>
      <c r="C116" s="228"/>
      <c r="D116" s="98">
        <v>26</v>
      </c>
      <c r="E116" s="147"/>
      <c r="F116" s="171">
        <v>27</v>
      </c>
      <c r="G116" s="228"/>
      <c r="H116" s="98">
        <v>28</v>
      </c>
      <c r="I116" s="147"/>
      <c r="J116" s="200">
        <v>29</v>
      </c>
      <c r="K116" s="228"/>
      <c r="L116" s="165">
        <v>30</v>
      </c>
      <c r="M116" s="228"/>
      <c r="N116" s="171">
        <v>1</v>
      </c>
      <c r="O116" s="68"/>
      <c r="P116" s="68"/>
      <c r="Q116" s="68"/>
      <c r="R116" s="68"/>
      <c r="S116" s="68"/>
    </row>
    <row r="117" spans="1:19" x14ac:dyDescent="0.2">
      <c r="A117" s="124"/>
      <c r="B117" s="108"/>
      <c r="C117" s="86"/>
      <c r="D117" s="79"/>
      <c r="E117" s="124"/>
      <c r="F117" s="380"/>
      <c r="G117" s="86"/>
      <c r="H117" s="79"/>
      <c r="I117" s="381"/>
      <c r="J117" s="382"/>
      <c r="K117" s="383"/>
      <c r="L117" s="384" t="s">
        <v>584</v>
      </c>
      <c r="M117" s="309"/>
      <c r="N117" s="385"/>
      <c r="O117" s="68"/>
      <c r="P117" s="68"/>
      <c r="Q117" s="68"/>
      <c r="R117" s="68"/>
      <c r="S117" s="68"/>
    </row>
    <row r="118" spans="1:19" x14ac:dyDescent="0.2">
      <c r="A118" s="124"/>
      <c r="B118" s="108"/>
      <c r="C118" s="86"/>
      <c r="D118" s="79"/>
      <c r="E118" s="124"/>
      <c r="F118" s="108"/>
      <c r="G118" s="86"/>
      <c r="H118" s="79"/>
      <c r="I118" s="386"/>
      <c r="J118" s="387"/>
      <c r="K118" s="388"/>
      <c r="L118" s="363" t="s">
        <v>175</v>
      </c>
      <c r="M118" s="363"/>
      <c r="N118" s="389"/>
      <c r="O118" s="68"/>
      <c r="P118" s="68"/>
      <c r="Q118" s="68"/>
      <c r="R118" s="68"/>
      <c r="S118" s="68"/>
    </row>
    <row r="119" spans="1:19" ht="13.5" thickBot="1" x14ac:dyDescent="0.25">
      <c r="A119" s="127"/>
      <c r="B119" s="206"/>
      <c r="C119" s="143"/>
      <c r="D119" s="143"/>
      <c r="E119" s="127"/>
      <c r="F119" s="206"/>
      <c r="G119" s="358"/>
      <c r="H119" s="143"/>
      <c r="I119" s="127"/>
      <c r="J119" s="249"/>
      <c r="K119" s="143"/>
      <c r="L119" s="321" t="str">
        <f>HYPERLINK("https://www.google.com/maps/place/34+Impasse+des+Rouyeres,+16710+Saint-Yrieix-sur-Charente,+France/@45.691087,0.1434799,17z/data=!3m1!4b1!4m5!3m4!1s0x47fe2e199ca6e37d:0xd3c639b38a9a2239!8m2!3d45.691087!4d0.1456686","Saint-Yrieix-sur-Charente")</f>
        <v>Saint-Yrieix-sur-Charente</v>
      </c>
      <c r="M119" s="250"/>
      <c r="N119" s="206"/>
      <c r="O119" s="68"/>
      <c r="P119" s="7"/>
      <c r="Q119" s="68"/>
      <c r="R119" s="68"/>
      <c r="S119" s="68"/>
    </row>
    <row r="120" spans="1:19" x14ac:dyDescent="0.2">
      <c r="A120" s="390" t="s">
        <v>176</v>
      </c>
      <c r="B120" s="391"/>
      <c r="C120" s="392"/>
      <c r="D120" s="392"/>
      <c r="E120" s="391"/>
      <c r="F120" s="391"/>
      <c r="G120" s="392"/>
      <c r="H120" s="392"/>
      <c r="I120" s="392"/>
      <c r="J120" s="392"/>
      <c r="K120" s="392"/>
      <c r="L120" s="8"/>
      <c r="M120" s="8"/>
      <c r="N120" s="393"/>
      <c r="O120" s="68"/>
      <c r="P120" s="68"/>
      <c r="Q120" s="68"/>
      <c r="R120" s="68"/>
      <c r="S120" s="68"/>
    </row>
    <row r="121" spans="1:19" x14ac:dyDescent="0.2">
      <c r="A121" s="394" t="s">
        <v>96</v>
      </c>
      <c r="B121" s="391"/>
      <c r="C121" s="392"/>
      <c r="D121" s="392"/>
      <c r="E121" s="391"/>
      <c r="F121" s="391"/>
      <c r="G121" s="392"/>
      <c r="H121" s="392"/>
      <c r="I121" s="392"/>
      <c r="J121" s="392"/>
      <c r="K121" s="392"/>
      <c r="L121" s="392"/>
      <c r="M121" s="392"/>
      <c r="N121" s="393"/>
      <c r="O121" s="68"/>
      <c r="P121" s="68"/>
      <c r="Q121" s="68"/>
      <c r="R121" s="68"/>
      <c r="S121" s="68"/>
    </row>
    <row r="122" spans="1:19" x14ac:dyDescent="0.2">
      <c r="A122" s="61" t="s">
        <v>177</v>
      </c>
      <c r="B122" s="62"/>
      <c r="C122" s="62"/>
      <c r="D122" s="62"/>
      <c r="E122" s="62"/>
      <c r="F122" s="62"/>
      <c r="G122" s="62"/>
      <c r="H122" s="410" t="str">
        <f>HYPERLINK("https://webzone.ee/petank/juhendid/voka-kv-2019-juhend.pdf","juhend")</f>
        <v>juhend</v>
      </c>
      <c r="I122" s="8"/>
      <c r="J122" s="8"/>
      <c r="L122" s="8"/>
      <c r="M122" s="8"/>
      <c r="N122" s="393"/>
      <c r="O122" s="68"/>
      <c r="P122" s="7"/>
      <c r="Q122" s="68"/>
      <c r="R122" s="68"/>
      <c r="S122" s="68"/>
    </row>
    <row r="123" spans="1:19" x14ac:dyDescent="0.2">
      <c r="A123" s="61" t="s">
        <v>98</v>
      </c>
      <c r="B123" s="62"/>
      <c r="C123" s="62"/>
      <c r="D123" s="62"/>
      <c r="E123" s="62"/>
      <c r="F123" s="62"/>
      <c r="G123" s="62"/>
      <c r="H123" s="62"/>
      <c r="I123" s="62"/>
      <c r="J123" s="395"/>
      <c r="K123" s="395"/>
      <c r="L123" s="395"/>
      <c r="M123" s="395"/>
      <c r="N123" s="396"/>
      <c r="O123" s="68"/>
      <c r="P123" s="7"/>
      <c r="Q123" s="68"/>
      <c r="R123" s="68"/>
      <c r="S123" s="68"/>
    </row>
    <row r="124" spans="1:19" x14ac:dyDescent="0.2">
      <c r="A124" s="393" t="s">
        <v>179</v>
      </c>
      <c r="B124" s="8"/>
      <c r="C124" s="8"/>
      <c r="D124" s="8"/>
      <c r="E124" s="393"/>
      <c r="F124" s="393"/>
      <c r="G124" s="8"/>
      <c r="H124" s="8"/>
      <c r="I124" s="8"/>
      <c r="J124" s="8"/>
      <c r="K124" s="8"/>
      <c r="L124" s="8"/>
      <c r="M124" s="8"/>
      <c r="N124" s="411" t="str">
        <f>HYPERLINK("https://www.petanque.ee/juhendid/reitinguarvestuse-juhend/","juhend")</f>
        <v>juhend</v>
      </c>
      <c r="O124" s="7"/>
      <c r="P124" s="7"/>
      <c r="Q124" s="7"/>
      <c r="R124" s="7"/>
      <c r="S124" s="7"/>
    </row>
    <row r="125" spans="1:19" x14ac:dyDescent="0.2">
      <c r="A125" s="397" t="s">
        <v>100</v>
      </c>
      <c r="B125" s="8"/>
      <c r="C125" s="8"/>
      <c r="D125" s="8"/>
      <c r="E125" s="393"/>
      <c r="F125" s="393"/>
      <c r="G125" s="8"/>
      <c r="H125" s="8"/>
      <c r="I125" s="7"/>
      <c r="J125" s="7"/>
      <c r="K125" s="7"/>
      <c r="L125" s="8"/>
      <c r="M125" s="8"/>
      <c r="N125" s="398" t="s">
        <v>178</v>
      </c>
      <c r="O125" s="7"/>
      <c r="P125" s="7"/>
      <c r="Q125" s="7"/>
      <c r="R125" s="7"/>
      <c r="S125" s="7"/>
    </row>
    <row r="126" spans="1:19" x14ac:dyDescent="0.2">
      <c r="A126" s="86"/>
      <c r="B126" s="86"/>
      <c r="C126" s="86"/>
      <c r="D126" s="86"/>
      <c r="E126" s="86"/>
      <c r="F126" s="86"/>
      <c r="G126" s="317"/>
      <c r="H126" s="86"/>
      <c r="I126" s="86"/>
      <c r="J126" s="399"/>
      <c r="K126" s="86"/>
      <c r="L126" s="400"/>
      <c r="M126" s="401"/>
      <c r="N126" s="86"/>
      <c r="O126" s="68"/>
      <c r="P126" s="68"/>
      <c r="Q126" s="68"/>
      <c r="R126" s="68"/>
      <c r="S126" s="68"/>
    </row>
  </sheetData>
  <pageMargins left="0.35433070866141736" right="0.19685039370078741" top="0.27559055118110237" bottom="0.19685039370078741" header="0.27559055118110237" footer="0"/>
  <pageSetup paperSize="9" fitToHeight="0" orientation="portrait" r:id="rId1"/>
  <headerFooter>
    <oddHeader>&amp;R&amp;9Page &amp;P of &amp;N</oddHeader>
  </headerFooter>
  <rowBreaks count="1" manualBreakCount="1">
    <brk id="64" max="16383"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00"/>
    <pageSetUpPr fitToPage="1"/>
  </sheetPr>
  <dimension ref="A1:BG67"/>
  <sheetViews>
    <sheetView showGridLines="0" zoomScaleNormal="100" workbookViewId="0">
      <pane ySplit="6" topLeftCell="A7" activePane="bottomLeft" state="frozen"/>
      <selection pane="bottomLeft" activeCell="AB1" sqref="AB1"/>
    </sheetView>
  </sheetViews>
  <sheetFormatPr defaultRowHeight="12.75" x14ac:dyDescent="0.2"/>
  <cols>
    <col min="1" max="1" width="4" customWidth="1"/>
    <col min="2" max="2" width="7.42578125" hidden="1" customWidth="1"/>
    <col min="3" max="3" width="5" hidden="1" customWidth="1"/>
    <col min="4" max="4" width="0" hidden="1" customWidth="1"/>
    <col min="5" max="5" width="3" hidden="1" customWidth="1"/>
    <col min="6" max="6" width="6.5703125" hidden="1" customWidth="1"/>
    <col min="7" max="7" width="3" customWidth="1"/>
    <col min="8" max="8" width="6.7109375" hidden="1" customWidth="1"/>
    <col min="9" max="9" width="3" customWidth="1"/>
    <col min="10" max="10" width="8.28515625" hidden="1" customWidth="1"/>
    <col min="11" max="11" width="3.7109375" customWidth="1"/>
    <col min="12" max="12" width="18.42578125" customWidth="1"/>
    <col min="13" max="17" width="3" hidden="1" customWidth="1"/>
    <col min="18" max="18" width="6" customWidth="1"/>
    <col min="19" max="19" width="23" hidden="1" customWidth="1"/>
    <col min="20" max="20" width="28.28515625" hidden="1" customWidth="1"/>
    <col min="21" max="21" width="9" hidden="1" customWidth="1"/>
    <col min="22" max="22" width="7.5703125" hidden="1" customWidth="1"/>
    <col min="23" max="23" width="32" hidden="1" customWidth="1"/>
    <col min="24" max="24" width="11.28515625" hidden="1" customWidth="1"/>
    <col min="25" max="25" width="9.140625" hidden="1" customWidth="1"/>
    <col min="26" max="35" width="3.7109375" customWidth="1"/>
    <col min="36" max="36" width="2" customWidth="1"/>
    <col min="37" max="37" width="4" customWidth="1"/>
    <col min="38" max="38" width="8" customWidth="1"/>
    <col min="39" max="39" width="5.42578125" customWidth="1"/>
    <col min="40" max="42" width="3.28515625" customWidth="1"/>
    <col min="49" max="59" width="0" hidden="1" customWidth="1"/>
  </cols>
  <sheetData>
    <row r="1" spans="1:59" x14ac:dyDescent="0.2">
      <c r="A1" s="512"/>
      <c r="B1" s="513"/>
      <c r="C1" s="514"/>
      <c r="D1" s="514"/>
      <c r="E1" s="514"/>
      <c r="F1" s="514"/>
      <c r="G1" s="515"/>
      <c r="H1" s="514"/>
      <c r="I1" s="516" t="s">
        <v>291</v>
      </c>
      <c r="J1" s="514"/>
      <c r="K1" s="515"/>
      <c r="L1" s="512"/>
      <c r="M1" s="517"/>
      <c r="N1" s="517"/>
      <c r="O1" s="517"/>
      <c r="P1" s="518"/>
      <c r="Q1" s="518"/>
      <c r="R1" s="519"/>
      <c r="S1" s="517"/>
      <c r="T1" s="517"/>
      <c r="U1" s="517"/>
      <c r="V1" s="517"/>
      <c r="W1" s="517"/>
      <c r="X1" s="517"/>
      <c r="Y1" s="517"/>
      <c r="Z1" s="519"/>
      <c r="AA1" s="519"/>
      <c r="AB1" s="519"/>
      <c r="AC1" s="519"/>
      <c r="AD1" s="519"/>
      <c r="AE1" s="519"/>
      <c r="AF1" s="519" t="s">
        <v>292</v>
      </c>
      <c r="AG1" s="519"/>
      <c r="AH1" s="515"/>
      <c r="AI1" s="512"/>
      <c r="AJ1" s="520"/>
      <c r="AK1" s="520"/>
      <c r="AL1" s="521" t="s">
        <v>182</v>
      </c>
      <c r="AN1" s="522" t="s">
        <v>183</v>
      </c>
      <c r="AO1" s="522"/>
      <c r="AP1" s="523"/>
      <c r="AQ1" s="512"/>
      <c r="AW1" s="417" t="s">
        <v>181</v>
      </c>
      <c r="AX1" s="513"/>
      <c r="AY1" s="513"/>
      <c r="AZ1" s="513"/>
      <c r="BA1" s="513"/>
      <c r="BB1" s="513"/>
      <c r="BC1" s="513"/>
      <c r="BD1" s="513"/>
      <c r="BE1" s="513"/>
      <c r="BF1" s="513"/>
      <c r="BG1" s="513"/>
    </row>
    <row r="2" spans="1:59" x14ac:dyDescent="0.2">
      <c r="A2" s="512"/>
      <c r="B2" s="512"/>
      <c r="C2" s="515"/>
      <c r="D2" s="515"/>
      <c r="E2" s="515"/>
      <c r="F2" s="515"/>
      <c r="G2" s="515"/>
      <c r="H2" s="515"/>
      <c r="I2" s="524" t="s">
        <v>293</v>
      </c>
      <c r="J2" s="515"/>
      <c r="K2" s="515"/>
      <c r="L2" s="512"/>
      <c r="M2" s="519"/>
      <c r="N2" s="519"/>
      <c r="O2" s="519"/>
      <c r="P2" s="525"/>
      <c r="Q2" s="525"/>
      <c r="R2" s="519"/>
      <c r="S2" s="519"/>
      <c r="T2" s="519"/>
      <c r="U2" s="519"/>
      <c r="V2" s="519"/>
      <c r="W2" s="519"/>
      <c r="X2" s="519"/>
      <c r="Y2" s="519"/>
      <c r="Z2" s="519"/>
      <c r="AA2" s="519"/>
      <c r="AB2" s="519"/>
      <c r="AC2" s="519"/>
      <c r="AD2" s="519"/>
      <c r="AE2" s="519"/>
      <c r="AF2" s="519"/>
      <c r="AG2" s="526"/>
      <c r="AH2" s="526"/>
      <c r="AI2" s="526"/>
      <c r="AJ2" s="519"/>
      <c r="AK2" s="519"/>
      <c r="AL2" s="519"/>
      <c r="AM2" s="527"/>
      <c r="AN2" s="513" t="s">
        <v>184</v>
      </c>
      <c r="AO2" s="513"/>
      <c r="AP2" s="512"/>
      <c r="AQ2" s="512"/>
      <c r="AW2" s="512"/>
      <c r="AX2" s="512"/>
      <c r="AY2" s="512"/>
      <c r="AZ2" s="512"/>
      <c r="BA2" s="512"/>
      <c r="BB2" s="512"/>
      <c r="BC2" s="512"/>
      <c r="BD2" s="512"/>
      <c r="BE2" s="512"/>
      <c r="BF2" s="512"/>
      <c r="BG2" s="512"/>
    </row>
    <row r="3" spans="1:59" x14ac:dyDescent="0.2">
      <c r="A3" s="512"/>
      <c r="B3" s="512"/>
      <c r="C3" s="515"/>
      <c r="D3" s="515"/>
      <c r="E3" s="515"/>
      <c r="F3" s="515"/>
      <c r="G3" s="515"/>
      <c r="H3" s="515"/>
      <c r="I3" s="528" t="s">
        <v>294</v>
      </c>
      <c r="J3" s="515"/>
      <c r="K3" s="515"/>
      <c r="L3" s="512"/>
      <c r="M3" s="519"/>
      <c r="N3" s="519"/>
      <c r="O3" s="519"/>
      <c r="P3" s="525"/>
      <c r="Q3" s="525"/>
      <c r="R3" s="519"/>
      <c r="S3" s="519"/>
      <c r="T3" s="519"/>
      <c r="U3" s="519"/>
      <c r="V3" s="519"/>
      <c r="W3" s="519"/>
      <c r="X3" s="519"/>
      <c r="Y3" s="519"/>
      <c r="Z3" s="519"/>
      <c r="AA3" s="519"/>
      <c r="AB3" s="519"/>
      <c r="AC3" s="519"/>
      <c r="AD3" s="519"/>
      <c r="AE3" s="519"/>
      <c r="AF3" s="519"/>
      <c r="AG3" s="519"/>
      <c r="AH3" s="519"/>
      <c r="AI3" s="519"/>
      <c r="AJ3" s="519"/>
      <c r="AK3" s="519"/>
      <c r="AL3" s="519"/>
      <c r="AM3" s="28"/>
      <c r="AN3" s="529" t="s">
        <v>185</v>
      </c>
      <c r="AO3" s="529"/>
      <c r="AP3" s="512"/>
      <c r="AQ3" s="512"/>
      <c r="AW3" s="530">
        <v>1</v>
      </c>
      <c r="AX3" s="531" t="s">
        <v>295</v>
      </c>
      <c r="AY3" s="532"/>
      <c r="AZ3" s="532"/>
      <c r="BA3" s="532"/>
      <c r="BB3" s="512"/>
      <c r="BC3" s="512"/>
      <c r="BD3" s="512"/>
      <c r="BE3" s="512"/>
      <c r="BF3" s="512"/>
      <c r="BG3" s="512"/>
    </row>
    <row r="4" spans="1:59" ht="29.25" x14ac:dyDescent="0.2">
      <c r="A4" s="533"/>
      <c r="B4" s="533"/>
      <c r="C4" s="533"/>
      <c r="D4" s="533"/>
      <c r="E4" s="533"/>
      <c r="F4" s="533"/>
      <c r="G4" s="533"/>
      <c r="H4" s="533"/>
      <c r="I4" s="533"/>
      <c r="J4" s="533"/>
      <c r="K4" s="533"/>
      <c r="L4" s="533"/>
      <c r="M4" s="533"/>
      <c r="N4" s="533"/>
      <c r="O4" s="533"/>
      <c r="P4" s="533"/>
      <c r="Q4" s="533"/>
      <c r="R4" s="533"/>
      <c r="S4" s="534" t="s">
        <v>296</v>
      </c>
      <c r="T4" s="534"/>
      <c r="U4" s="535" t="s">
        <v>297</v>
      </c>
      <c r="V4" s="534" t="s">
        <v>298</v>
      </c>
      <c r="W4" s="534" t="s">
        <v>299</v>
      </c>
      <c r="X4" s="534"/>
      <c r="Y4" s="536" t="s">
        <v>300</v>
      </c>
      <c r="Z4" s="537" t="str">
        <f>MID(Kalend!$A7,4,5)</f>
        <v>08.05</v>
      </c>
      <c r="AA4" s="537" t="str">
        <f>MID(Kalend!$A12,4,5)</f>
        <v>22.05</v>
      </c>
      <c r="AB4" s="537" t="str">
        <f>MID(Kalend!$A18,4,5)</f>
        <v>05.06</v>
      </c>
      <c r="AC4" s="537" t="str">
        <f>MID(Kalend!$A22,4,5)</f>
        <v>19.06</v>
      </c>
      <c r="AD4" s="537" t="str">
        <f>MID(Kalend!$A29,4,5)</f>
        <v>18.07</v>
      </c>
      <c r="AE4" s="537" t="str">
        <f>MID(Kalend!$A31,4,5)</f>
        <v>28.07</v>
      </c>
      <c r="AF4" s="537" t="str">
        <f>MID(Kalend!$A35,4,5)</f>
        <v>20.08</v>
      </c>
      <c r="AG4" s="537" t="str">
        <f>MID(Kalend!$A37,4,5)</f>
        <v>25.08</v>
      </c>
      <c r="AH4" s="537" t="str">
        <f>MID(Kalend!$A41,4,5)</f>
        <v>08.09</v>
      </c>
      <c r="AI4" s="537" t="str">
        <f>MID(Kalend!$A43,4,5)</f>
        <v>29.09</v>
      </c>
      <c r="AJ4" s="538"/>
      <c r="AK4" s="539"/>
      <c r="AL4" s="540" t="s">
        <v>88</v>
      </c>
      <c r="AM4" s="541" t="str">
        <f>MID(Kalend!$A44,4,5)</f>
        <v>oober</v>
      </c>
      <c r="AN4" s="1113" t="s">
        <v>197</v>
      </c>
      <c r="AO4" s="1114" t="s">
        <v>198</v>
      </c>
      <c r="AP4" s="1115" t="s">
        <v>199</v>
      </c>
      <c r="AQ4" s="512"/>
      <c r="AW4" s="512"/>
      <c r="AZ4" s="512"/>
      <c r="BA4" s="512"/>
      <c r="BB4" s="512"/>
      <c r="BC4" s="512"/>
      <c r="BD4" s="512"/>
      <c r="BE4" s="512"/>
      <c r="BF4" s="512"/>
      <c r="BG4" s="512"/>
    </row>
    <row r="5" spans="1:59" x14ac:dyDescent="0.2">
      <c r="A5" s="542" t="s">
        <v>88</v>
      </c>
      <c r="B5" s="543"/>
      <c r="C5" s="543"/>
      <c r="D5" s="543"/>
      <c r="E5" s="544" t="s">
        <v>88</v>
      </c>
      <c r="F5" s="543"/>
      <c r="G5" s="544" t="s">
        <v>88</v>
      </c>
      <c r="H5" s="543"/>
      <c r="I5" s="544"/>
      <c r="J5" s="543"/>
      <c r="K5" s="545" t="s">
        <v>200</v>
      </c>
      <c r="L5" s="546"/>
      <c r="M5" s="547" t="s">
        <v>88</v>
      </c>
      <c r="N5" s="547" t="s">
        <v>88</v>
      </c>
      <c r="O5" s="547" t="s">
        <v>88</v>
      </c>
      <c r="P5" s="547" t="s">
        <v>88</v>
      </c>
      <c r="Q5" s="547" t="s">
        <v>88</v>
      </c>
      <c r="R5" s="548" t="s">
        <v>201</v>
      </c>
      <c r="S5" s="549" t="s">
        <v>301</v>
      </c>
      <c r="T5" s="550"/>
      <c r="U5" s="551" t="s">
        <v>302</v>
      </c>
      <c r="V5" s="552"/>
      <c r="W5" s="552"/>
      <c r="X5" s="552"/>
      <c r="Y5" s="553" t="s">
        <v>303</v>
      </c>
      <c r="Z5" s="554" t="s">
        <v>203</v>
      </c>
      <c r="AA5" s="554" t="s">
        <v>203</v>
      </c>
      <c r="AB5" s="554" t="s">
        <v>203</v>
      </c>
      <c r="AC5" s="554" t="s">
        <v>203</v>
      </c>
      <c r="AD5" s="554" t="s">
        <v>203</v>
      </c>
      <c r="AE5" s="554" t="s">
        <v>203</v>
      </c>
      <c r="AF5" s="554" t="s">
        <v>203</v>
      </c>
      <c r="AG5" s="554" t="s">
        <v>203</v>
      </c>
      <c r="AH5" s="554" t="s">
        <v>203</v>
      </c>
      <c r="AI5" s="554" t="s">
        <v>203</v>
      </c>
      <c r="AJ5" s="555"/>
      <c r="AK5" s="556"/>
      <c r="AL5" s="557" t="s">
        <v>304</v>
      </c>
      <c r="AM5" s="558" t="s">
        <v>204</v>
      </c>
      <c r="AN5" s="1113"/>
      <c r="AO5" s="1114"/>
      <c r="AP5" s="1115"/>
      <c r="AQ5" s="512"/>
      <c r="AW5" s="512"/>
      <c r="AX5" s="512"/>
      <c r="AY5" s="512"/>
      <c r="AZ5" s="512"/>
      <c r="BA5" s="512"/>
      <c r="BB5" s="512"/>
      <c r="BC5" s="512"/>
      <c r="BD5" s="512"/>
      <c r="BE5" s="512"/>
      <c r="BF5" s="512"/>
      <c r="BG5" s="512"/>
    </row>
    <row r="6" spans="1:59" x14ac:dyDescent="0.2">
      <c r="A6" s="559" t="s">
        <v>305</v>
      </c>
      <c r="B6" s="560" t="s">
        <v>305</v>
      </c>
      <c r="C6" s="561" t="s">
        <v>306</v>
      </c>
      <c r="D6" s="560" t="s">
        <v>307</v>
      </c>
      <c r="E6" s="562" t="s">
        <v>308</v>
      </c>
      <c r="F6" s="560" t="s">
        <v>309</v>
      </c>
      <c r="G6" s="563" t="s">
        <v>205</v>
      </c>
      <c r="H6" s="560" t="s">
        <v>310</v>
      </c>
      <c r="I6" s="564" t="s">
        <v>206</v>
      </c>
      <c r="J6" s="560" t="s">
        <v>311</v>
      </c>
      <c r="K6" s="565" t="s">
        <v>207</v>
      </c>
      <c r="L6" s="566" t="s">
        <v>208</v>
      </c>
      <c r="M6" s="567" t="s">
        <v>205</v>
      </c>
      <c r="N6" s="568" t="s">
        <v>308</v>
      </c>
      <c r="O6" s="569" t="s">
        <v>206</v>
      </c>
      <c r="P6" s="570" t="s">
        <v>209</v>
      </c>
      <c r="Q6" s="571" t="s">
        <v>312</v>
      </c>
      <c r="R6" s="572" t="s">
        <v>209</v>
      </c>
      <c r="S6" s="573" t="s">
        <v>313</v>
      </c>
      <c r="T6" s="573" t="s">
        <v>211</v>
      </c>
      <c r="U6" s="573" t="s">
        <v>314</v>
      </c>
      <c r="V6" s="574" t="s">
        <v>315</v>
      </c>
      <c r="W6" s="573" t="s">
        <v>214</v>
      </c>
      <c r="X6" s="573" t="s">
        <v>316</v>
      </c>
      <c r="Y6" s="573" t="s">
        <v>317</v>
      </c>
      <c r="Z6" s="555" t="str">
        <f>HYPERLINK("#V1!N1","V1")</f>
        <v>V1</v>
      </c>
      <c r="AA6" s="575" t="str">
        <f>HYPERLINK("#V2!N1","V2")</f>
        <v>V2</v>
      </c>
      <c r="AB6" s="555" t="str">
        <f>HYPERLINK("#V3!N1","V3")</f>
        <v>V3</v>
      </c>
      <c r="AC6" s="575" t="str">
        <f>HYPERLINK("#V4!N1","V4")</f>
        <v>V4</v>
      </c>
      <c r="AD6" s="575" t="str">
        <f>HYPERLINK("#V5!N1","V5")</f>
        <v>V5</v>
      </c>
      <c r="AE6" s="575" t="str">
        <f>HYPERLINK("#V6!N1","V6")</f>
        <v>V6</v>
      </c>
      <c r="AF6" s="555" t="str">
        <f>HYPERLINK("#V7!N1","V7")</f>
        <v>V7</v>
      </c>
      <c r="AG6" s="575" t="str">
        <f>HYPERLINK("#V8!N1","V8")</f>
        <v>V8</v>
      </c>
      <c r="AH6" s="575" t="str">
        <f>HYPERLINK("#V9!N1","V9")</f>
        <v>V9</v>
      </c>
      <c r="AI6" s="575" t="str">
        <f>HYPERLINK("#V10!N1","V10")</f>
        <v>V10</v>
      </c>
      <c r="AJ6" s="576"/>
      <c r="AK6" s="577"/>
      <c r="AL6" s="578" t="s">
        <v>318</v>
      </c>
      <c r="AM6" s="579" t="str">
        <f>HYPERLINK("#'V-Fin'!J1","V-Fin")</f>
        <v>V-Fin</v>
      </c>
      <c r="AN6" s="580"/>
      <c r="AO6" s="581"/>
      <c r="AP6" s="582"/>
      <c r="AQ6" s="512"/>
      <c r="AW6" s="512"/>
      <c r="AX6" s="512"/>
      <c r="AY6" s="512"/>
      <c r="AZ6" s="512"/>
      <c r="BA6" s="512"/>
      <c r="BB6" s="512"/>
      <c r="BC6" s="512"/>
      <c r="BD6" s="512"/>
      <c r="BE6" s="512"/>
      <c r="BF6" s="512"/>
      <c r="BG6" s="512"/>
    </row>
    <row r="7" spans="1:59" x14ac:dyDescent="0.2">
      <c r="A7" s="583">
        <f>IF(R7&gt;0,IF(Q7="v",RANK(B7,B$7:B$62,1)-COUNTBLANK(Q$7:Q$62),""),"")</f>
        <v>1</v>
      </c>
      <c r="B7" s="584">
        <f t="shared" ref="B7:B62" si="0">IF((Q7="v"),U7,U7-1000)</f>
        <v>1</v>
      </c>
      <c r="C7" s="585" t="str">
        <f>IF(R7&gt;0,IF(P7="k",RANK(D7,D$7:D$62,1)-COUNTBLANK(P$7:P$62),""),"")</f>
        <v/>
      </c>
      <c r="D7" s="584">
        <f t="shared" ref="D7:D62" si="1">IF((P7="k"),U7,U7-1000)</f>
        <v>-999</v>
      </c>
      <c r="E7" s="586">
        <f>IF(R7&gt;0,IF(N7="m",RANK(F7,F$7:F$62,1)-COUNTBLANK(N$7:N$62),""),"")</f>
        <v>1</v>
      </c>
      <c r="F7" s="584">
        <f t="shared" ref="F7:F62" si="2">IF((N7="m"),U7,U7-1000)</f>
        <v>1</v>
      </c>
      <c r="G7" s="587" t="str">
        <f>IF(R7&gt;0,IF(M7="n",RANK(H7,H$7:H$62,1)-COUNTBLANK(M$7:M$62),""),"")</f>
        <v/>
      </c>
      <c r="H7" s="584">
        <f t="shared" ref="H7:H62" si="3">IF((M7="n"),U7,U7-1000)</f>
        <v>-999</v>
      </c>
      <c r="I7" s="588" t="str">
        <f>IF(R7&gt;0,IF(O7="j",RANK(J7,J$7:J$62,1)-COUNTBLANK(O$7:O$62),""),"")</f>
        <v/>
      </c>
      <c r="J7" s="589">
        <f t="shared" ref="J7:J62" si="4">IF((O7="j"),U7,U7-1000)</f>
        <v>-999</v>
      </c>
      <c r="K7" s="548">
        <f>IF(R7&gt;0,RANK(U7,U$7:U$62,1),"")</f>
        <v>1</v>
      </c>
      <c r="L7" s="590" t="s">
        <v>223</v>
      </c>
      <c r="M7" s="591"/>
      <c r="N7" s="592" t="str">
        <f>IF(M7="","m","")</f>
        <v>m</v>
      </c>
      <c r="O7" s="593"/>
      <c r="P7" s="594"/>
      <c r="Q7" s="595" t="s">
        <v>319</v>
      </c>
      <c r="R7" s="596">
        <f>(IF(COUNT(Z7,AA7,AB7,AC7,AD7,AE7,AF7,AG7,AH7,AI7)&lt;9,SUM(Z7,AA7,AB7,AC7,AD7,AE7,AF7,AG7,AH7,AI7),SUM(LARGE((Z7,AA7,AB7,AC7,AD7,AE7,AF7,AG7,AH7,AI7),{1;2;3;4;5;6;7;8;9}))))</f>
        <v>169</v>
      </c>
      <c r="S7" s="597" t="str">
        <f>INDEX(ETAPP!B$1:B$32,MATCH(COUNTIF(Z7:AI7,PVO!A$1),ETAPP!A$1:A$32,0))&amp;INDEX(ETAPP!B$1:B$32,MATCH(COUNTIF(Z7:AI7,PVO!A$2),ETAPP!A$1:A$32,0))&amp;INDEX(ETAPP!B$1:B$32,MATCH(COUNTIF(Z7:AI7,PVO!A$3),ETAPP!A$1:A$32,0))&amp;INDEX(ETAPP!B$1:B$32,MATCH(COUNTIF(Z7:AI7,PVO!A$4),ETAPP!A$1:A$32,0))&amp;INDEX(ETAPP!B$1:B$32,MATCH(COUNTIF(Z7:AI7,PVO!A$5),ETAPP!A$1:A$32,0))&amp;INDEX(ETAPP!B$1:B$32,MATCH(COUNTIF(Z7:AI7,PVO!A$6),ETAPP!A$1:A$32,0))&amp;INDEX(ETAPP!B$1:B$32,MATCH(COUNTIF(Z7:AI7,PVO!A$7),ETAPP!A$1:A$32,0))&amp;INDEX(ETAPP!B$1:B$32,MATCH(COUNTIF(Z7:AI7,PVO!A$8),ETAPP!A$1:A$32,0))&amp;INDEX(ETAPP!B$1:B$32,MATCH(COUNTIF(Z7:AI7,PVO!A$9),ETAPP!A$1:A$32,0))&amp;INDEX(ETAPP!B$1:B$32,MATCH(COUNTIF(Z7:AI7,PVO!A$10),ETAPP!A$1:A$32,0))&amp;INDEX(ETAPP!B$1:B$32,MATCH(COUNTIF(Z7:AI7,PVO!A$11),ETAPP!A$1:A$32,0))&amp;INDEX(ETAPP!B$1:B$32,MATCH(COUNTIF(Z7:AI7,PVO!A$12),ETAPP!A$1:A$32,0))&amp;INDEX(ETAPP!B$1:B$32,MATCH(COUNTIF(Z7:AI7,PVO!A$13),ETAPP!A$1:A$32,0))&amp;INDEX(ETAPP!B$1:B$32,MATCH(COUNTIF(Z7:AI7,PVO!A$14),ETAPP!A$1:A$32,0))&amp;INDEX(ETAPP!B$1:B$32,MATCH(COUNTIF(Z7:AI7,PVO!A$15),ETAPP!A$1:A$32,0))&amp;INDEX(ETAPP!B$1:B$32,MATCH(COUNTIF(Z7:AI7,PVO!A$16),ETAPP!A$1:A$32,0))&amp;INDEX(ETAPP!B$1:B$32,MATCH(COUNTIF(Z7:AI7,PVO!A$17),ETAPP!A$1:A$32,0))&amp;INDEX(ETAPP!B$1:B$32,MATCH(COUNTIF(Z7:AI7,PVO!A$18),ETAPP!A$1:A$32,0))&amp;INDEX(ETAPP!B$1:B$32,MATCH(COUNTIF(Z7:AI7,PVO!A$19),ETAPP!A$1:A$32,0))</f>
        <v>CCABA00000000000000</v>
      </c>
      <c r="T7" s="597" t="str">
        <f t="shared" ref="T7:T62" si="5">TEXT(R7,"000,0")&amp;"-"&amp;S7</f>
        <v>169,0-CCABA00000000000000</v>
      </c>
      <c r="U7" s="597">
        <f>COUNTIF(T$7:T$62,"&gt;="&amp;T7)</f>
        <v>1</v>
      </c>
      <c r="V7" s="597">
        <f>COUNTIF(L$7:L$62,"&gt;="&amp;L7)</f>
        <v>20</v>
      </c>
      <c r="W7" s="597" t="str">
        <f t="shared" ref="W7:W62" si="6">TEXT(R7,"000,0")&amp;"-"&amp;S7&amp;"-"&amp;TEXT(V7,"000")</f>
        <v>169,0-CCABA00000000000000-020</v>
      </c>
      <c r="X7" s="597">
        <f>COUNTIF(W$7:W$62,"&gt;="&amp;W7)</f>
        <v>1</v>
      </c>
      <c r="Y7" s="598">
        <f>RANK(X7,X$7:X$62,0)</f>
        <v>56</v>
      </c>
      <c r="Z7" s="599">
        <f>IFERROR(INDEX('V1'!C$300:C$400,MATCH("*"&amp;L7&amp;"*",'V1'!B$300:B$400,0)),"  ")</f>
        <v>20</v>
      </c>
      <c r="AA7" s="599">
        <f>IFERROR(INDEX('V2'!C$300:C$400,MATCH("*"&amp;L7&amp;"*",'V2'!B$300:B$400,0)),"  ")</f>
        <v>19</v>
      </c>
      <c r="AB7" s="599">
        <f>IFERROR(INDEX('V3'!C$300:C$400,MATCH("*"&amp;L7&amp;"*",'V3'!B$300:B$400,0)),"  ")</f>
        <v>20</v>
      </c>
      <c r="AC7" s="599">
        <f>IFERROR(INDEX('V4'!C$300:C$400,MATCH("*"&amp;L7&amp;"*",'V4'!B$300:B$400,0)),"  ")</f>
        <v>17</v>
      </c>
      <c r="AD7" s="599">
        <f>IFERROR(INDEX('V5'!C$300:C$400,MATCH("*"&amp;L7&amp;"*",'V5'!B$300:B$400,0)),"  ")</f>
        <v>19</v>
      </c>
      <c r="AE7" s="599">
        <f>IFERROR(INDEX('V6'!C$300:C$400,MATCH("*"&amp;L7&amp;"*",'V6'!B$300:B$400,0)),"  ")</f>
        <v>19</v>
      </c>
      <c r="AF7" s="599">
        <f>IFERROR(INDEX('V7'!C$300:C$400,MATCH("*"&amp;L7&amp;"*",'V7'!B$300:B$400,0)),"  ")</f>
        <v>20</v>
      </c>
      <c r="AG7" s="599">
        <f>IFERROR(INDEX('V8'!C$300:C$400,MATCH("*"&amp;L7&amp;"*",'V8'!B$300:B$400,0)),"  ")</f>
        <v>16</v>
      </c>
      <c r="AH7" s="599">
        <f>IFERROR(INDEX('V9'!C$300:C$400,MATCH("*"&amp;L7&amp;"*",'V9'!B$300:B$400,0)),"  ")</f>
        <v>17</v>
      </c>
      <c r="AI7" s="599">
        <f>IFERROR(INDEX('V10'!C$300:C$400,MATCH("*"&amp;L7&amp;"*",'V10'!B$300:B$400,0)),"  ")</f>
        <v>18</v>
      </c>
      <c r="AJ7" s="600">
        <f t="shared" ref="AJ7:AJ62" si="7">IF(COUNTIF(Z7:AI7,"&gt;0")&gt;=3,1,0)</f>
        <v>1</v>
      </c>
      <c r="AK7" s="600">
        <f t="shared" ref="AK7:AK62" si="8">IF(AJ7=1,Y7,"")</f>
        <v>56</v>
      </c>
      <c r="AL7" s="601" t="str">
        <f>IFERROR("edasi "&amp;RANK(AK7,AK$7:AK$62,0),K7)</f>
        <v>edasi 1</v>
      </c>
      <c r="AM7" s="602">
        <f>IFERROR(INDEX('V-fin'!A$300:A$400,MATCH("*"&amp;L7&amp;"*",'V-fin'!B$300:B$400,0)),"  ")</f>
        <v>12</v>
      </c>
      <c r="AN7" s="603">
        <f t="shared" ref="AN7:AN62" si="9">COUNTIF(Z7:AI7,"&gt;=0")</f>
        <v>10</v>
      </c>
      <c r="AO7" s="604">
        <f>IFERROR(IF(Z7+1&gt;LARGE(Z$7:Z$62,1)-2,1),0)+IFERROR(IF(AA7+1&gt;LARGE(AA$7:AA$62,1)-2,1),0)+IFERROR(IF(AB7+1&gt;LARGE(AB$7:AB$62,1)-2,1),0)+IFERROR(IF(AC7+1&gt;LARGE(AC$7:AC$62,1)-2,1),0)+IFERROR(IF(AD7+1&gt;LARGE(AD$7:AD$62,1)-2,1),0)+IFERROR(IF(AE7+1&gt;LARGE(AE$7:AE$62,1)-2,1),0)+IFERROR(IF(AF7+1&gt;LARGE(AF$7:AF$62,1)-2,1),0)+IFERROR(IF(AG7+1&gt;LARGE(AG$7:AG$62,1)-2,1),0)+IFERROR(IF(AH7+1&gt;LARGE(AH$7:AH$62,1)-2,1),0)+IFERROR(IF(AI7+1&gt;LARGE(AI$7:AI$62,1)-2,1),0)</f>
        <v>7</v>
      </c>
      <c r="AP7" s="604">
        <f>IF(Z7=0,0,IF(Z7=IFERROR(LARGE(Z$7:Z$62,1),0),1,0))+IF(AA7=0,0,IF(AA7=IFERROR(LARGE(AA$7:AA$62,1),0),1,0))+IF(AB7=0,0,IF(AB7=IFERROR(LARGE(AB$7:AB$62,1),0),1,0))+IF(AC7=0,0,IF(AC7=IFERROR(LARGE(AC$7:AC$62,1),0),1,0))+IF(AD7=0,0,IF(AD7=IFERROR(LARGE(AD$7:AD$62,1),0),1,0))+IF(AE7=0,0,IF(AE7=IFERROR(LARGE(AE$7:AE$62,1),0),1,0))+IF(AF7=0,0,IF(AF7=IFERROR(LARGE(AF$7:AF$62,1),0),1,0))+IF(AG7=0,0,IF(AG7=IFERROR(LARGE(AG$7:AG$62,1),0),1,0))+IF(AH7=0,0,IF(AH7=IFERROR(LARGE(AH$7:AH$62,1),0),1,0))+IF(AI7=0,0,IF(AI7=IFERROR(LARGE(AI$7:AI$62,1),0),1,0))</f>
        <v>3</v>
      </c>
      <c r="AQ7" s="512"/>
      <c r="AR7" s="605"/>
      <c r="AS7" s="606"/>
      <c r="AT7" s="606"/>
      <c r="AU7" s="606"/>
      <c r="AV7" s="606"/>
      <c r="AW7" s="605">
        <f t="shared" ref="AW7:AW62" si="10">SMALL(AX7:BG7,AW$3)</f>
        <v>16.000800000000002</v>
      </c>
      <c r="AX7" s="606">
        <f t="shared" ref="AX7:BG32" si="11">IF(Z7="  ",0+MID(Z$6,FIND("V",Z$6)+1,256)/10000,Z7+MID(Z$6,FIND("V",Z$6)+1,256)/10000)</f>
        <v>20.0001</v>
      </c>
      <c r="AY7" s="606">
        <f t="shared" si="11"/>
        <v>19.0002</v>
      </c>
      <c r="AZ7" s="606">
        <f t="shared" si="11"/>
        <v>20.000299999999999</v>
      </c>
      <c r="BA7" s="606">
        <f t="shared" si="11"/>
        <v>17.000399999999999</v>
      </c>
      <c r="BB7" s="606">
        <f t="shared" si="11"/>
        <v>19.000499999999999</v>
      </c>
      <c r="BC7" s="606">
        <f t="shared" si="11"/>
        <v>19.000599999999999</v>
      </c>
      <c r="BD7" s="606">
        <f t="shared" si="11"/>
        <v>20.000699999999998</v>
      </c>
      <c r="BE7" s="606">
        <f t="shared" si="11"/>
        <v>16.000800000000002</v>
      </c>
      <c r="BF7" s="606">
        <f t="shared" si="11"/>
        <v>17.000900000000001</v>
      </c>
      <c r="BG7" s="606">
        <f t="shared" si="11"/>
        <v>18.001000000000001</v>
      </c>
    </row>
    <row r="8" spans="1:59" x14ac:dyDescent="0.2">
      <c r="A8" s="583">
        <f>IF(R8&gt;0,IF(Q8="v",RANK(B8,B$7:B$62,1)-COUNTBLANK(Q$7:Q$62),""),"")</f>
        <v>2</v>
      </c>
      <c r="B8" s="584">
        <f t="shared" si="0"/>
        <v>2</v>
      </c>
      <c r="C8" s="585" t="str">
        <f>IF(R8&gt;0,IF(P8="k",RANK(D8,D$7:D$62,1)-COUNTBLANK(P$7:P$62),""),"")</f>
        <v/>
      </c>
      <c r="D8" s="584">
        <f t="shared" si="1"/>
        <v>-998</v>
      </c>
      <c r="E8" s="586" t="str">
        <f>IF(R8&gt;0,IF(N8="m",RANK(F8,F$7:F$62,1)-COUNTBLANK(N$7:N$62),""),"")</f>
        <v/>
      </c>
      <c r="F8" s="584">
        <f t="shared" si="2"/>
        <v>-998</v>
      </c>
      <c r="G8" s="587">
        <f>IF(R8&gt;0,IF(M8="n",RANK(H8,H$7:H$62,1)-COUNTBLANK(M$7:M$62),""),"")</f>
        <v>1</v>
      </c>
      <c r="H8" s="584">
        <f t="shared" si="3"/>
        <v>2</v>
      </c>
      <c r="I8" s="588" t="str">
        <f>IF(R8&gt;0,IF(O8="j",RANK(J8,J$7:J$62,1)-COUNTBLANK(O$7:O$62),""),"")</f>
        <v/>
      </c>
      <c r="J8" s="589">
        <f t="shared" si="4"/>
        <v>-998</v>
      </c>
      <c r="K8" s="548">
        <f>IF(R8&gt;0,RANK(U8,U$7:U$62,1),"")</f>
        <v>2</v>
      </c>
      <c r="L8" s="607" t="s">
        <v>242</v>
      </c>
      <c r="M8" s="591" t="s">
        <v>234</v>
      </c>
      <c r="N8" s="592"/>
      <c r="O8" s="593"/>
      <c r="P8" s="594"/>
      <c r="Q8" s="595" t="s">
        <v>319</v>
      </c>
      <c r="R8" s="596">
        <f>(IF(COUNT(Z8,AA8,AB8,AC8,AD8,AE8,AF8,AG8,AH8,AI8)&lt;9,SUM(Z8,AA8,AB8,AC8,AD8,AE8,AF8,AG8,AH8,AI8),SUM(LARGE((Z8,AA8,AB8,AC8,AD8,AE8,AF8,AG8,AH8,AI8),{1;2;3;4;5;6;7;8;9}))))</f>
        <v>165</v>
      </c>
      <c r="S8" s="597" t="str">
        <f>INDEX(ETAPP!B$1:B$32,MATCH(COUNTIF(Z8:AI8,PVO!A$1),ETAPP!A$1:A$32,0))&amp;INDEX(ETAPP!B$1:B$32,MATCH(COUNTIF(Z8:AI8,PVO!A$2),ETAPP!A$1:A$32,0))&amp;INDEX(ETAPP!B$1:B$32,MATCH(COUNTIF(Z8:AI8,PVO!A$3),ETAPP!A$1:A$32,0))&amp;INDEX(ETAPP!B$1:B$32,MATCH(COUNTIF(Z8:AI8,PVO!A$4),ETAPP!A$1:A$32,0))&amp;INDEX(ETAPP!B$1:B$32,MATCH(COUNTIF(Z8:AI8,PVO!A$5),ETAPP!A$1:A$32,0))&amp;INDEX(ETAPP!B$1:B$32,MATCH(COUNTIF(Z8:AI8,PVO!A$6),ETAPP!A$1:A$32,0))&amp;INDEX(ETAPP!B$1:B$32,MATCH(COUNTIF(Z8:AI8,PVO!A$7),ETAPP!A$1:A$32,0))&amp;INDEX(ETAPP!B$1:B$32,MATCH(COUNTIF(Z8:AI8,PVO!A$8),ETAPP!A$1:A$32,0))&amp;INDEX(ETAPP!B$1:B$32,MATCH(COUNTIF(Z8:AI8,PVO!A$9),ETAPP!A$1:A$32,0))&amp;INDEX(ETAPP!B$1:B$32,MATCH(COUNTIF(Z8:AI8,PVO!A$10),ETAPP!A$1:A$32,0))&amp;INDEX(ETAPP!B$1:B$32,MATCH(COUNTIF(Z8:AI8,PVO!A$11),ETAPP!A$1:A$32,0))&amp;INDEX(ETAPP!B$1:B$32,MATCH(COUNTIF(Z8:AI8,PVO!A$12),ETAPP!A$1:A$32,0))&amp;INDEX(ETAPP!B$1:B$32,MATCH(COUNTIF(Z8:AI8,PVO!A$13),ETAPP!A$1:A$32,0))&amp;INDEX(ETAPP!B$1:B$32,MATCH(COUNTIF(Z8:AI8,PVO!A$14),ETAPP!A$1:A$32,0))&amp;INDEX(ETAPP!B$1:B$32,MATCH(COUNTIF(Z8:AI8,PVO!A$15),ETAPP!A$1:A$32,0))&amp;INDEX(ETAPP!B$1:B$32,MATCH(COUNTIF(Z8:AI8,PVO!A$16),ETAPP!A$1:A$32,0))&amp;INDEX(ETAPP!B$1:B$32,MATCH(COUNTIF(Z8:AI8,PVO!A$17),ETAPP!A$1:A$32,0))&amp;INDEX(ETAPP!B$1:B$32,MATCH(COUNTIF(Z8:AI8,PVO!A$18),ETAPP!A$1:A$32,0))&amp;INDEX(ETAPP!B$1:B$32,MATCH(COUNTIF(Z8:AI8,PVO!A$19),ETAPP!A$1:A$32,0))</f>
        <v>BCABA00000000000000</v>
      </c>
      <c r="T8" s="597" t="str">
        <f t="shared" si="5"/>
        <v>165,0-BCABA00000000000000</v>
      </c>
      <c r="U8" s="597">
        <f>COUNTIF(T$7:T$62,"&gt;="&amp;T8)</f>
        <v>2</v>
      </c>
      <c r="V8" s="597">
        <f>COUNTIF(L$7:L$62,"&gt;="&amp;L8)</f>
        <v>21</v>
      </c>
      <c r="W8" s="597" t="str">
        <f t="shared" si="6"/>
        <v>165,0-BCABA00000000000000-021</v>
      </c>
      <c r="X8" s="597">
        <f>COUNTIF(W$7:W$62,"&gt;="&amp;W8)</f>
        <v>2</v>
      </c>
      <c r="Y8" s="598">
        <f>RANK(X8,X$7:X$62,0)</f>
        <v>55</v>
      </c>
      <c r="Z8" s="599" t="str">
        <f>IFERROR(INDEX('V1'!C$300:C$400,MATCH("*"&amp;L8&amp;"*",'V1'!B$300:B$400,0)),"  ")</f>
        <v xml:space="preserve">  </v>
      </c>
      <c r="AA8" s="599">
        <f>IFERROR(INDEX('V2'!C$300:C$400,MATCH("*"&amp;L8&amp;"*",'V2'!B$300:B$400,0)),"  ")</f>
        <v>19</v>
      </c>
      <c r="AB8" s="599">
        <f>IFERROR(INDEX('V3'!C$300:C$400,MATCH("*"&amp;L8&amp;"*",'V3'!B$300:B$400,0)),"  ")</f>
        <v>20</v>
      </c>
      <c r="AC8" s="599">
        <f>IFERROR(INDEX('V4'!C$300:C$400,MATCH("*"&amp;L8&amp;"*",'V4'!B$300:B$400,0)),"  ")</f>
        <v>17</v>
      </c>
      <c r="AD8" s="599">
        <f>IFERROR(INDEX('V5'!C$300:C$400,MATCH("*"&amp;L8&amp;"*",'V5'!B$300:B$400,0)),"  ")</f>
        <v>19</v>
      </c>
      <c r="AE8" s="599">
        <f>IFERROR(INDEX('V6'!C$300:C$400,MATCH("*"&amp;L8&amp;"*",'V6'!B$300:B$400,0)),"  ")</f>
        <v>19</v>
      </c>
      <c r="AF8" s="599">
        <f>IFERROR(INDEX('V7'!C$300:C$400,MATCH("*"&amp;L8&amp;"*",'V7'!B$300:B$400,0)),"  ")</f>
        <v>20</v>
      </c>
      <c r="AG8" s="599">
        <f>IFERROR(INDEX('V8'!C$300:C$400,MATCH("*"&amp;L8&amp;"*",'V8'!B$300:B$400,0)),"  ")</f>
        <v>16</v>
      </c>
      <c r="AH8" s="599">
        <f>IFERROR(INDEX('V9'!C$300:C$400,MATCH("*"&amp;L8&amp;"*",'V9'!B$300:B$400,0)),"  ")</f>
        <v>17</v>
      </c>
      <c r="AI8" s="599">
        <f>IFERROR(INDEX('V10'!C$300:C$400,MATCH("*"&amp;L8&amp;"*",'V10'!B$300:B$400,0)),"  ")</f>
        <v>18</v>
      </c>
      <c r="AJ8" s="600">
        <f t="shared" si="7"/>
        <v>1</v>
      </c>
      <c r="AK8" s="600">
        <f t="shared" si="8"/>
        <v>55</v>
      </c>
      <c r="AL8" s="601" t="str">
        <f>IFERROR("edasi "&amp;RANK(AK8,AK$7:AK$62,0),K8)</f>
        <v>edasi 2</v>
      </c>
      <c r="AM8" s="602">
        <f>IFERROR(INDEX('V-fin'!A$300:A$400,MATCH("*"&amp;L8&amp;"*",'V-fin'!B$300:B$400,0)),"  ")</f>
        <v>18</v>
      </c>
      <c r="AN8" s="603">
        <f t="shared" si="9"/>
        <v>9</v>
      </c>
      <c r="AO8" s="604">
        <f>IFERROR(IF(Z8+1&gt;LARGE(Z$7:Z$62,1)-2,1),0)+IFERROR(IF(AA8+1&gt;LARGE(AA$7:AA$62,1)-2,1),0)+IFERROR(IF(AB8+1&gt;LARGE(AB$7:AB$62,1)-2,1),0)+IFERROR(IF(AC8+1&gt;LARGE(AC$7:AC$62,1)-2,1),0)+IFERROR(IF(AD8+1&gt;LARGE(AD$7:AD$62,1)-2,1),0)+IFERROR(IF(AE8+1&gt;LARGE(AE$7:AE$62,1)-2,1),0)+IFERROR(IF(AF8+1&gt;LARGE(AF$7:AF$62,1)-2,1),0)+IFERROR(IF(AG8+1&gt;LARGE(AG$7:AG$62,1)-2,1),0)+IFERROR(IF(AH8+1&gt;LARGE(AH$7:AH$62,1)-2,1),0)+IFERROR(IF(AI8+1&gt;LARGE(AI$7:AI$62,1)-2,1),0)</f>
        <v>6</v>
      </c>
      <c r="AP8" s="604">
        <f>IF(Z8=0,0,IF(Z8=IFERROR(LARGE(Z$7:Z$62,1),0),1,0))+IF(AA8=0,0,IF(AA8=IFERROR(LARGE(AA$7:AA$62,1),0),1,0))+IF(AB8=0,0,IF(AB8=IFERROR(LARGE(AB$7:AB$62,1),0),1,0))+IF(AC8=0,0,IF(AC8=IFERROR(LARGE(AC$7:AC$62,1),0),1,0))+IF(AD8=0,0,IF(AD8=IFERROR(LARGE(AD$7:AD$62,1),0),1,0))+IF(AE8=0,0,IF(AE8=IFERROR(LARGE(AE$7:AE$62,1),0),1,0))+IF(AF8=0,0,IF(AF8=IFERROR(LARGE(AF$7:AF$62,1),0),1,0))+IF(AG8=0,0,IF(AG8=IFERROR(LARGE(AG$7:AG$62,1),0),1,0))+IF(AH8=0,0,IF(AH8=IFERROR(LARGE(AH$7:AH$62,1),0),1,0))+IF(AI8=0,0,IF(AI8=IFERROR(LARGE(AI$7:AI$62,1),0),1,0))</f>
        <v>2</v>
      </c>
      <c r="AQ8" s="512"/>
      <c r="AR8" s="605"/>
      <c r="AS8" s="606"/>
      <c r="AT8" s="606"/>
      <c r="AU8" s="606"/>
      <c r="AV8" s="606"/>
      <c r="AW8" s="605">
        <f t="shared" si="10"/>
        <v>1E-4</v>
      </c>
      <c r="AX8" s="606">
        <f t="shared" si="11"/>
        <v>1E-4</v>
      </c>
      <c r="AY8" s="606">
        <f t="shared" si="11"/>
        <v>19.0002</v>
      </c>
      <c r="AZ8" s="606">
        <f t="shared" si="11"/>
        <v>20.000299999999999</v>
      </c>
      <c r="BA8" s="606">
        <f t="shared" si="11"/>
        <v>17.000399999999999</v>
      </c>
      <c r="BB8" s="606">
        <f t="shared" si="11"/>
        <v>19.000499999999999</v>
      </c>
      <c r="BC8" s="606">
        <f t="shared" si="11"/>
        <v>19.000599999999999</v>
      </c>
      <c r="BD8" s="606">
        <f t="shared" si="11"/>
        <v>20.000699999999998</v>
      </c>
      <c r="BE8" s="606">
        <f t="shared" si="11"/>
        <v>16.000800000000002</v>
      </c>
      <c r="BF8" s="606">
        <f t="shared" si="11"/>
        <v>17.000900000000001</v>
      </c>
      <c r="BG8" s="606">
        <f t="shared" si="11"/>
        <v>18.001000000000001</v>
      </c>
    </row>
    <row r="9" spans="1:59" x14ac:dyDescent="0.2">
      <c r="A9" s="583" t="str">
        <f>IF(R9&gt;0,IF(Q9="v",RANK(B9,B$7:B$62,1)-COUNTBLANK(Q$7:Q$62),""),"")</f>
        <v/>
      </c>
      <c r="B9" s="584">
        <f t="shared" si="0"/>
        <v>-997</v>
      </c>
      <c r="C9" s="585" t="str">
        <f>IF(R9&gt;0,IF(P9="k",RANK(D9,D$7:D$62,1)-COUNTBLANK(P$7:P$62),""),"")</f>
        <v/>
      </c>
      <c r="D9" s="584">
        <f t="shared" si="1"/>
        <v>-997</v>
      </c>
      <c r="E9" s="586">
        <f>IF(R9&gt;0,IF(N9="m",RANK(F9,F$7:F$62,1)-COUNTBLANK(N$7:N$62),""),"")</f>
        <v>2</v>
      </c>
      <c r="F9" s="584">
        <f t="shared" si="2"/>
        <v>3</v>
      </c>
      <c r="G9" s="587" t="str">
        <f>IF(R9&gt;0,IF(M9="n",RANK(H9,H$7:H$62,1)-COUNTBLANK(M$7:M$62),""),"")</f>
        <v/>
      </c>
      <c r="H9" s="584">
        <f t="shared" si="3"/>
        <v>-997</v>
      </c>
      <c r="I9" s="588" t="str">
        <f>IF(R9&gt;0,IF(O9="j",RANK(J9,J$7:J$62,1)-COUNTBLANK(O$7:O$62),""),"")</f>
        <v/>
      </c>
      <c r="J9" s="589">
        <f t="shared" si="4"/>
        <v>-997</v>
      </c>
      <c r="K9" s="548">
        <f>IF(R9&gt;0,RANK(U9,U$7:U$62,1),"")</f>
        <v>3</v>
      </c>
      <c r="L9" s="590" t="s">
        <v>222</v>
      </c>
      <c r="M9" s="591"/>
      <c r="N9" s="592" t="str">
        <f t="shared" ref="N9:N14" si="12">IF(M9="","m","")</f>
        <v>m</v>
      </c>
      <c r="O9" s="593"/>
      <c r="P9" s="594"/>
      <c r="Q9" s="595"/>
      <c r="R9" s="596">
        <f>(IF(COUNT(Z9,AA9,AB9,AC9,AD9,AE9,AF9,AG9,AH9,AI9)&lt;9,SUM(Z9,AA9,AB9,AC9,AD9,AE9,AF9,AG9,AH9,AI9),SUM(LARGE((Z9,AA9,AB9,AC9,AD9,AE9,AF9,AG9,AH9,AI9),{1;2;3;4;5;6;7;8;9}))))</f>
        <v>148</v>
      </c>
      <c r="S9" s="597" t="str">
        <f>INDEX(ETAPP!B$1:B$32,MATCH(COUNTIF(Z9:AI9,PVO!A$1),ETAPP!A$1:A$32,0))&amp;INDEX(ETAPP!B$1:B$32,MATCH(COUNTIF(Z9:AI9,PVO!A$2),ETAPP!A$1:A$32,0))&amp;INDEX(ETAPP!B$1:B$32,MATCH(COUNTIF(Z9:AI9,PVO!A$3),ETAPP!A$1:A$32,0))&amp;INDEX(ETAPP!B$1:B$32,MATCH(COUNTIF(Z9:AI9,PVO!A$4),ETAPP!A$1:A$32,0))&amp;INDEX(ETAPP!B$1:B$32,MATCH(COUNTIF(Z9:AI9,PVO!A$5),ETAPP!A$1:A$32,0))&amp;INDEX(ETAPP!B$1:B$32,MATCH(COUNTIF(Z9:AI9,PVO!A$6),ETAPP!A$1:A$32,0))&amp;INDEX(ETAPP!B$1:B$32,MATCH(COUNTIF(Z9:AI9,PVO!A$7),ETAPP!A$1:A$32,0))&amp;INDEX(ETAPP!B$1:B$32,MATCH(COUNTIF(Z9:AI9,PVO!A$8),ETAPP!A$1:A$32,0))&amp;INDEX(ETAPP!B$1:B$32,MATCH(COUNTIF(Z9:AI9,PVO!A$9),ETAPP!A$1:A$32,0))&amp;INDEX(ETAPP!B$1:B$32,MATCH(COUNTIF(Z9:AI9,PVO!A$10),ETAPP!A$1:A$32,0))&amp;INDEX(ETAPP!B$1:B$32,MATCH(COUNTIF(Z9:AI9,PVO!A$11),ETAPP!A$1:A$32,0))&amp;INDEX(ETAPP!B$1:B$32,MATCH(COUNTIF(Z9:AI9,PVO!A$12),ETAPP!A$1:A$32,0))&amp;INDEX(ETAPP!B$1:B$32,MATCH(COUNTIF(Z9:AI9,PVO!A$13),ETAPP!A$1:A$32,0))&amp;INDEX(ETAPP!B$1:B$32,MATCH(COUNTIF(Z9:AI9,PVO!A$14),ETAPP!A$1:A$32,0))&amp;INDEX(ETAPP!B$1:B$32,MATCH(COUNTIF(Z9:AI9,PVO!A$15),ETAPP!A$1:A$32,0))&amp;INDEX(ETAPP!B$1:B$32,MATCH(COUNTIF(Z9:AI9,PVO!A$16),ETAPP!A$1:A$32,0))&amp;INDEX(ETAPP!B$1:B$32,MATCH(COUNTIF(Z9:AI9,PVO!A$17),ETAPP!A$1:A$32,0))&amp;INDEX(ETAPP!B$1:B$32,MATCH(COUNTIF(Z9:AI9,PVO!A$18),ETAPP!A$1:A$32,0))&amp;INDEX(ETAPP!B$1:B$32,MATCH(COUNTIF(Z9:AI9,PVO!A$19),ETAPP!A$1:A$32,0))</f>
        <v>CAAC000000000000000</v>
      </c>
      <c r="T9" s="597" t="str">
        <f t="shared" si="5"/>
        <v>148,0-CAAC000000000000000</v>
      </c>
      <c r="U9" s="597">
        <f>COUNTIF(T$7:T$62,"&gt;="&amp;T9)</f>
        <v>3</v>
      </c>
      <c r="V9" s="597">
        <f>COUNTIF(L$7:L$62,"&gt;="&amp;L9)</f>
        <v>24</v>
      </c>
      <c r="W9" s="597" t="str">
        <f t="shared" si="6"/>
        <v>148,0-CAAC000000000000000-024</v>
      </c>
      <c r="X9" s="597">
        <f>COUNTIF(W$7:W$62,"&gt;="&amp;W9)</f>
        <v>3</v>
      </c>
      <c r="Y9" s="598">
        <f>RANK(X9,X$7:X$62,0)</f>
        <v>54</v>
      </c>
      <c r="Z9" s="599">
        <f>IFERROR(INDEX('V1'!C$300:C$400,MATCH("*"&amp;L9&amp;"*",'V1'!B$300:B$400,0)),"  ")</f>
        <v>17</v>
      </c>
      <c r="AA9" s="599">
        <f>IFERROR(INDEX('V2'!C$300:C$400,MATCH("*"&amp;L9&amp;"*",'V2'!B$300:B$400,0)),"  ")</f>
        <v>18</v>
      </c>
      <c r="AB9" s="599">
        <f>IFERROR(INDEX('V3'!C$300:C$400,MATCH("*"&amp;L9&amp;"*",'V3'!B$300:B$400,0)),"  ")</f>
        <v>17</v>
      </c>
      <c r="AC9" s="599">
        <f>IFERROR(INDEX('V4'!C$300:C$400,MATCH("*"&amp;L9&amp;"*",'V4'!B$300:B$400,0)),"  ")</f>
        <v>20</v>
      </c>
      <c r="AD9" s="599">
        <f>IFERROR(INDEX('V5'!C$300:C$400,MATCH("*"&amp;L9&amp;"*",'V5'!B$300:B$400,0)),"  ")</f>
        <v>20</v>
      </c>
      <c r="AE9" s="599">
        <f>IFERROR(INDEX('V6'!C$300:C$400,MATCH("*"&amp;L9&amp;"*",'V6'!B$300:B$400,0)),"  ")</f>
        <v>20</v>
      </c>
      <c r="AF9" s="599">
        <f>IFERROR(INDEX('V7'!C$300:C$400,MATCH("*"&amp;L9&amp;"*",'V7'!B$300:B$400,0)),"  ")</f>
        <v>19</v>
      </c>
      <c r="AG9" s="599">
        <f>IFERROR(INDEX('V8'!C$300:C$400,MATCH("*"&amp;L9&amp;"*",'V8'!B$300:B$400,0)),"  ")</f>
        <v>17</v>
      </c>
      <c r="AH9" s="599" t="str">
        <f>IFERROR(INDEX('V9'!C$300:C$400,MATCH("*"&amp;L9&amp;"*",'V9'!B$300:B$400,0)),"  ")</f>
        <v xml:space="preserve">  </v>
      </c>
      <c r="AI9" s="599" t="str">
        <f>IFERROR(INDEX('V10'!C$300:C$400,MATCH("*"&amp;L9&amp;"*",'V10'!B$300:B$400,0)),"  ")</f>
        <v xml:space="preserve">  </v>
      </c>
      <c r="AJ9" s="600">
        <f t="shared" si="7"/>
        <v>1</v>
      </c>
      <c r="AK9" s="600">
        <f t="shared" si="8"/>
        <v>54</v>
      </c>
      <c r="AL9" s="601" t="str">
        <f>IFERROR("edasi "&amp;RANK(AK9,AK$7:AK$62,0),K9)</f>
        <v>edasi 3</v>
      </c>
      <c r="AM9" s="602">
        <f>IFERROR(INDEX('V-fin'!A$300:A$400,MATCH("*"&amp;L9&amp;"*",'V-fin'!B$300:B$400,0)),"  ")</f>
        <v>1</v>
      </c>
      <c r="AN9" s="603">
        <f t="shared" si="9"/>
        <v>8</v>
      </c>
      <c r="AO9" s="604">
        <f>IFERROR(IF(Z9+1&gt;LARGE(Z$7:Z$62,1)-2,1),0)+IFERROR(IF(AA9+1&gt;LARGE(AA$7:AA$62,1)-2,1),0)+IFERROR(IF(AB9+1&gt;LARGE(AB$7:AB$62,1)-2,1),0)+IFERROR(IF(AC9+1&gt;LARGE(AC$7:AC$62,1)-2,1),0)+IFERROR(IF(AD9+1&gt;LARGE(AD$7:AD$62,1)-2,1),0)+IFERROR(IF(AE9+1&gt;LARGE(AE$7:AE$62,1)-2,1),0)+IFERROR(IF(AF9+1&gt;LARGE(AF$7:AF$62,1)-2,1),0)+IFERROR(IF(AG9+1&gt;LARGE(AG$7:AG$62,1)-2,1),0)+IFERROR(IF(AH9+1&gt;LARGE(AH$7:AH$62,1)-2,1),0)+IFERROR(IF(AI9+1&gt;LARGE(AI$7:AI$62,1)-2,1),0)</f>
        <v>5</v>
      </c>
      <c r="AP9" s="604">
        <f>IF(Z9=0,0,IF(Z9=IFERROR(LARGE(Z$7:Z$62,1),0),1,0))+IF(AA9=0,0,IF(AA9=IFERROR(LARGE(AA$7:AA$62,1),0),1,0))+IF(AB9=0,0,IF(AB9=IFERROR(LARGE(AB$7:AB$62,1),0),1,0))+IF(AC9=0,0,IF(AC9=IFERROR(LARGE(AC$7:AC$62,1),0),1,0))+IF(AD9=0,0,IF(AD9=IFERROR(LARGE(AD$7:AD$62,1),0),1,0))+IF(AE9=0,0,IF(AE9=IFERROR(LARGE(AE$7:AE$62,1),0),1,0))+IF(AF9=0,0,IF(AF9=IFERROR(LARGE(AF$7:AF$62,1),0),1,0))+IF(AG9=0,0,IF(AG9=IFERROR(LARGE(AG$7:AG$62,1),0),1,0))+IF(AH9=0,0,IF(AH9=IFERROR(LARGE(AH$7:AH$62,1),0),1,0))+IF(AI9=0,0,IF(AI9=IFERROR(LARGE(AI$7:AI$62,1),0),1,0))</f>
        <v>3</v>
      </c>
      <c r="AQ9" s="512"/>
      <c r="AR9" s="605"/>
      <c r="AS9" s="606"/>
      <c r="AT9" s="606"/>
      <c r="AU9" s="606"/>
      <c r="AV9" s="606"/>
      <c r="AW9" s="605">
        <f t="shared" si="10"/>
        <v>8.9999999999999998E-4</v>
      </c>
      <c r="AX9" s="606">
        <f t="shared" si="11"/>
        <v>17.0001</v>
      </c>
      <c r="AY9" s="606">
        <f t="shared" si="11"/>
        <v>18.0002</v>
      </c>
      <c r="AZ9" s="606">
        <f t="shared" si="11"/>
        <v>17.000299999999999</v>
      </c>
      <c r="BA9" s="606">
        <f t="shared" si="11"/>
        <v>20.000399999999999</v>
      </c>
      <c r="BB9" s="606">
        <f t="shared" si="11"/>
        <v>20.000499999999999</v>
      </c>
      <c r="BC9" s="606">
        <f t="shared" si="11"/>
        <v>20.000599999999999</v>
      </c>
      <c r="BD9" s="606">
        <f t="shared" si="11"/>
        <v>19.000699999999998</v>
      </c>
      <c r="BE9" s="606">
        <f t="shared" si="11"/>
        <v>17.000800000000002</v>
      </c>
      <c r="BF9" s="606">
        <f t="shared" si="11"/>
        <v>8.9999999999999998E-4</v>
      </c>
      <c r="BG9" s="606">
        <f t="shared" si="11"/>
        <v>1E-3</v>
      </c>
    </row>
    <row r="10" spans="1:59" x14ac:dyDescent="0.2">
      <c r="A10" s="583">
        <f>IF(R10&gt;0,IF(Q10="v",RANK(B10,B$7:B$62,1)-COUNTBLANK(Q$7:Q$62),""),"")</f>
        <v>3</v>
      </c>
      <c r="B10" s="584">
        <f t="shared" si="0"/>
        <v>5</v>
      </c>
      <c r="C10" s="585" t="str">
        <f>IF(R10&gt;0,IF(P10="k",RANK(D10,D$7:D$62,1)-COUNTBLANK(P$7:P$62),""),"")</f>
        <v/>
      </c>
      <c r="D10" s="584">
        <f t="shared" si="1"/>
        <v>-995</v>
      </c>
      <c r="E10" s="586">
        <f>IF(R10&gt;0,IF(N10="m",RANK(F10,F$7:F$62,1)-COUNTBLANK(N$7:N$62),""),"")</f>
        <v>3</v>
      </c>
      <c r="F10" s="584">
        <f t="shared" si="2"/>
        <v>5</v>
      </c>
      <c r="G10" s="587" t="str">
        <f>IF(R10&gt;0,IF(M10="n",RANK(H10,H$7:H$62,1)-COUNTBLANK(M$7:M$62),""),"")</f>
        <v/>
      </c>
      <c r="H10" s="584">
        <f t="shared" si="3"/>
        <v>-995</v>
      </c>
      <c r="I10" s="588" t="str">
        <f>IF(R10&gt;0,IF(O10="j",RANK(J10,J$7:J$62,1)-COUNTBLANK(O$7:O$62),""),"")</f>
        <v/>
      </c>
      <c r="J10" s="589">
        <f t="shared" si="4"/>
        <v>-995</v>
      </c>
      <c r="K10" s="548">
        <f>IF(R10&gt;0,RANK(U10,U$7:U$62,1),"")</f>
        <v>4</v>
      </c>
      <c r="L10" s="607" t="s">
        <v>224</v>
      </c>
      <c r="M10" s="591"/>
      <c r="N10" s="592" t="str">
        <f t="shared" si="12"/>
        <v>m</v>
      </c>
      <c r="O10" s="593"/>
      <c r="P10" s="594"/>
      <c r="Q10" s="595" t="s">
        <v>319</v>
      </c>
      <c r="R10" s="596">
        <f>(IF(COUNT(Z10,AA10,AB10,AC10,AD10,AE10,AF10,AG10,AH10,AI10)&lt;9,SUM(Z10,AA10,AB10,AC10,AD10,AE10,AF10,AG10,AH10,AI10),SUM(LARGE((Z10,AA10,AB10,AC10,AD10,AE10,AF10,AG10,AH10,AI10),{1;2;3;4;5;6;7;8;9}))))</f>
        <v>142</v>
      </c>
      <c r="S10" s="597" t="str">
        <f>INDEX(ETAPP!B$1:B$32,MATCH(COUNTIF(Z10:AI10,PVO!A$1),ETAPP!A$1:A$32,0))&amp;INDEX(ETAPP!B$1:B$32,MATCH(COUNTIF(Z10:AI10,PVO!A$2),ETAPP!A$1:A$32,0))&amp;INDEX(ETAPP!B$1:B$32,MATCH(COUNTIF(Z10:AI10,PVO!A$3),ETAPP!A$1:A$32,0))&amp;INDEX(ETAPP!B$1:B$32,MATCH(COUNTIF(Z10:AI10,PVO!A$4),ETAPP!A$1:A$32,0))&amp;INDEX(ETAPP!B$1:B$32,MATCH(COUNTIF(Z10:AI10,PVO!A$5),ETAPP!A$1:A$32,0))&amp;INDEX(ETAPP!B$1:B$32,MATCH(COUNTIF(Z10:AI10,PVO!A$6),ETAPP!A$1:A$32,0))&amp;INDEX(ETAPP!B$1:B$32,MATCH(COUNTIF(Z10:AI10,PVO!A$7),ETAPP!A$1:A$32,0))&amp;INDEX(ETAPP!B$1:B$32,MATCH(COUNTIF(Z10:AI10,PVO!A$8),ETAPP!A$1:A$32,0))&amp;INDEX(ETAPP!B$1:B$32,MATCH(COUNTIF(Z10:AI10,PVO!A$9),ETAPP!A$1:A$32,0))&amp;INDEX(ETAPP!B$1:B$32,MATCH(COUNTIF(Z10:AI10,PVO!A$10),ETAPP!A$1:A$32,0))&amp;INDEX(ETAPP!B$1:B$32,MATCH(COUNTIF(Z10:AI10,PVO!A$11),ETAPP!A$1:A$32,0))&amp;INDEX(ETAPP!B$1:B$32,MATCH(COUNTIF(Z10:AI10,PVO!A$12),ETAPP!A$1:A$32,0))&amp;INDEX(ETAPP!B$1:B$32,MATCH(COUNTIF(Z10:AI10,PVO!A$13),ETAPP!A$1:A$32,0))&amp;INDEX(ETAPP!B$1:B$32,MATCH(COUNTIF(Z10:AI10,PVO!A$14),ETAPP!A$1:A$32,0))&amp;INDEX(ETAPP!B$1:B$32,MATCH(COUNTIF(Z10:AI10,PVO!A$15),ETAPP!A$1:A$32,0))&amp;INDEX(ETAPP!B$1:B$32,MATCH(COUNTIF(Z10:AI10,PVO!A$16),ETAPP!A$1:A$32,0))&amp;INDEX(ETAPP!B$1:B$32,MATCH(COUNTIF(Z10:AI10,PVO!A$17),ETAPP!A$1:A$32,0))&amp;INDEX(ETAPP!B$1:B$32,MATCH(COUNTIF(Z10:AI10,PVO!A$18),ETAPP!A$1:A$32,0))&amp;INDEX(ETAPP!B$1:B$32,MATCH(COUNTIF(Z10:AI10,PVO!A$19),ETAPP!A$1:A$32,0))</f>
        <v>AAAAAA0B0AA00000000</v>
      </c>
      <c r="T10" s="597" t="str">
        <f t="shared" si="5"/>
        <v>142,0-AAAAAA0B0AA00000000</v>
      </c>
      <c r="U10" s="597">
        <f>COUNTIF(T$7:T$62,"&gt;="&amp;T10)</f>
        <v>5</v>
      </c>
      <c r="V10" s="597">
        <f>COUNTIF(L$7:L$62,"&gt;="&amp;L10)</f>
        <v>49</v>
      </c>
      <c r="W10" s="597" t="str">
        <f t="shared" si="6"/>
        <v>142,0-AAAAAA0B0AA00000000-049</v>
      </c>
      <c r="X10" s="597">
        <f>COUNTIF(W$7:W$62,"&gt;="&amp;W10)</f>
        <v>4</v>
      </c>
      <c r="Y10" s="598">
        <f>RANK(X10,X$7:X$62,0)</f>
        <v>53</v>
      </c>
      <c r="Z10" s="599">
        <f>IFERROR(INDEX('V1'!C$300:C$400,MATCH("*"&amp;L10&amp;"*",'V1'!B$300:B$400,0)),"  ")</f>
        <v>19</v>
      </c>
      <c r="AA10" s="599">
        <f>IFERROR(INDEX('V2'!C$300:C$400,MATCH("*"&amp;L10&amp;"*",'V2'!B$300:B$400,0)),"  ")</f>
        <v>13</v>
      </c>
      <c r="AB10" s="599">
        <f>IFERROR(INDEX('V3'!C$300:C$400,MATCH("*"&amp;L10&amp;"*",'V3'!B$300:B$400,0)),"  ")</f>
        <v>10</v>
      </c>
      <c r="AC10" s="599">
        <f>IFERROR(INDEX('V4'!C$300:C$400,MATCH("*"&amp;L10&amp;"*",'V4'!B$300:B$400,0)),"  ")</f>
        <v>16</v>
      </c>
      <c r="AD10" s="599">
        <f>IFERROR(INDEX('V5'!C$300:C$400,MATCH("*"&amp;L10&amp;"*",'V5'!B$300:B$400,0)),"  ")</f>
        <v>15</v>
      </c>
      <c r="AE10" s="599">
        <f>IFERROR(INDEX('V6'!C$300:C$400,MATCH("*"&amp;L10&amp;"*",'V6'!B$300:B$400,0)),"  ")</f>
        <v>17</v>
      </c>
      <c r="AF10" s="599">
        <f>IFERROR(INDEX('V7'!C$300:C$400,MATCH("*"&amp;L10&amp;"*",'V7'!B$300:B$400,0)),"  ")</f>
        <v>11</v>
      </c>
      <c r="AG10" s="599">
        <f>IFERROR(INDEX('V8'!C$300:C$400,MATCH("*"&amp;L10&amp;"*",'V8'!B$300:B$400,0)),"  ")</f>
        <v>20</v>
      </c>
      <c r="AH10" s="599">
        <f>IFERROR(INDEX('V9'!C$300:C$400,MATCH("*"&amp;L10&amp;"*",'V9'!B$300:B$400,0)),"  ")</f>
        <v>18</v>
      </c>
      <c r="AI10" s="599">
        <f>IFERROR(INDEX('V10'!C$300:C$400,MATCH("*"&amp;L10&amp;"*",'V10'!B$300:B$400,0)),"  ")</f>
        <v>13</v>
      </c>
      <c r="AJ10" s="600">
        <f t="shared" si="7"/>
        <v>1</v>
      </c>
      <c r="AK10" s="600">
        <f t="shared" si="8"/>
        <v>53</v>
      </c>
      <c r="AL10" s="601" t="str">
        <f>IFERROR("edasi "&amp;RANK(AK10,AK$7:AK$62,0),K10)</f>
        <v>edasi 4</v>
      </c>
      <c r="AM10" s="602">
        <f>IFERROR(INDEX('V-fin'!A$300:A$400,MATCH("*"&amp;L10&amp;"*",'V-fin'!B$300:B$400,0)),"  ")</f>
        <v>5</v>
      </c>
      <c r="AN10" s="603">
        <f t="shared" si="9"/>
        <v>10</v>
      </c>
      <c r="AO10" s="604">
        <f>IFERROR(IF(Z10+1&gt;LARGE(Z$7:Z$62,1)-2,1),0)+IFERROR(IF(AA10+1&gt;LARGE(AA$7:AA$62,1)-2,1),0)+IFERROR(IF(AB10+1&gt;LARGE(AB$7:AB$62,1)-2,1),0)+IFERROR(IF(AC10+1&gt;LARGE(AC$7:AC$62,1)-2,1),0)+IFERROR(IF(AD10+1&gt;LARGE(AD$7:AD$62,1)-2,1),0)+IFERROR(IF(AE10+1&gt;LARGE(AE$7:AE$62,1)-2,1),0)+IFERROR(IF(AF10+1&gt;LARGE(AF$7:AF$62,1)-2,1),0)+IFERROR(IF(AG10+1&gt;LARGE(AG$7:AG$62,1)-2,1),0)+IFERROR(IF(AH10+1&gt;LARGE(AH$7:AH$62,1)-2,1),0)+IFERROR(IF(AI10+1&gt;LARGE(AI$7:AI$62,1)-2,1),0)</f>
        <v>3</v>
      </c>
      <c r="AP10" s="604">
        <f>IF(Z10=0,0,IF(Z10=IFERROR(LARGE(Z$7:Z$62,1),0),1,0))+IF(AA10=0,0,IF(AA10=IFERROR(LARGE(AA$7:AA$62,1),0),1,0))+IF(AB10=0,0,IF(AB10=IFERROR(LARGE(AB$7:AB$62,1),0),1,0))+IF(AC10=0,0,IF(AC10=IFERROR(LARGE(AC$7:AC$62,1),0),1,0))+IF(AD10=0,0,IF(AD10=IFERROR(LARGE(AD$7:AD$62,1),0),1,0))+IF(AE10=0,0,IF(AE10=IFERROR(LARGE(AE$7:AE$62,1),0),1,0))+IF(AF10=0,0,IF(AF10=IFERROR(LARGE(AF$7:AF$62,1),0),1,0))+IF(AG10=0,0,IF(AG10=IFERROR(LARGE(AG$7:AG$62,1),0),1,0))+IF(AH10=0,0,IF(AH10=IFERROR(LARGE(AH$7:AH$62,1),0),1,0))+IF(AI10=0,0,IF(AI10=IFERROR(LARGE(AI$7:AI$62,1),0),1,0))</f>
        <v>1</v>
      </c>
      <c r="AQ10" s="512"/>
      <c r="AR10" s="605"/>
      <c r="AS10" s="606"/>
      <c r="AT10" s="606"/>
      <c r="AU10" s="606"/>
      <c r="AV10" s="606"/>
      <c r="AW10" s="605">
        <f t="shared" si="10"/>
        <v>10.000299999999999</v>
      </c>
      <c r="AX10" s="606">
        <f t="shared" si="11"/>
        <v>19.0001</v>
      </c>
      <c r="AY10" s="606">
        <f t="shared" si="11"/>
        <v>13.0002</v>
      </c>
      <c r="AZ10" s="606">
        <f t="shared" si="11"/>
        <v>10.000299999999999</v>
      </c>
      <c r="BA10" s="606">
        <f t="shared" si="11"/>
        <v>16.000399999999999</v>
      </c>
      <c r="BB10" s="606">
        <f t="shared" si="11"/>
        <v>15.000500000000001</v>
      </c>
      <c r="BC10" s="606">
        <f t="shared" si="11"/>
        <v>17.000599999999999</v>
      </c>
      <c r="BD10" s="606">
        <f t="shared" si="11"/>
        <v>11.0007</v>
      </c>
      <c r="BE10" s="606">
        <f t="shared" si="11"/>
        <v>20.000800000000002</v>
      </c>
      <c r="BF10" s="606">
        <f t="shared" si="11"/>
        <v>18.000900000000001</v>
      </c>
      <c r="BG10" s="606">
        <f t="shared" si="11"/>
        <v>13.000999999999999</v>
      </c>
    </row>
    <row r="11" spans="1:59" x14ac:dyDescent="0.2">
      <c r="A11" s="583">
        <f>IF(R11&gt;0,IF(Q11="v",RANK(B11,B$7:B$62,1)-COUNTBLANK(Q$7:Q$62),""),"")</f>
        <v>3</v>
      </c>
      <c r="B11" s="584">
        <f t="shared" si="0"/>
        <v>5</v>
      </c>
      <c r="C11" s="585" t="str">
        <f>IF(R11&gt;0,IF(P11="k",RANK(D11,D$7:D$62,1)-COUNTBLANK(P$7:P$62),""),"")</f>
        <v/>
      </c>
      <c r="D11" s="584">
        <f t="shared" si="1"/>
        <v>-995</v>
      </c>
      <c r="E11" s="586">
        <f>IF(R11&gt;0,IF(N11="m",RANK(F11,F$7:F$62,1)-COUNTBLANK(N$7:N$62),""),"")</f>
        <v>3</v>
      </c>
      <c r="F11" s="584">
        <f t="shared" si="2"/>
        <v>5</v>
      </c>
      <c r="G11" s="587" t="str">
        <f>IF(R11&gt;0,IF(M11="n",RANK(H11,H$7:H$62,1)-COUNTBLANK(M$7:M$62),""),"")</f>
        <v/>
      </c>
      <c r="H11" s="584">
        <f t="shared" si="3"/>
        <v>-995</v>
      </c>
      <c r="I11" s="588" t="str">
        <f>IF(R11&gt;0,IF(O11="j",RANK(J11,J$7:J$62,1)-COUNTBLANK(O$7:O$62),""),"")</f>
        <v/>
      </c>
      <c r="J11" s="589">
        <f t="shared" si="4"/>
        <v>-995</v>
      </c>
      <c r="K11" s="548">
        <f>IF(R11&gt;0,RANK(U11,U$7:U$62,1),"")</f>
        <v>4</v>
      </c>
      <c r="L11" s="607" t="s">
        <v>226</v>
      </c>
      <c r="M11" s="591"/>
      <c r="N11" s="592" t="str">
        <f t="shared" si="12"/>
        <v>m</v>
      </c>
      <c r="O11" s="593"/>
      <c r="P11" s="594"/>
      <c r="Q11" s="595" t="s">
        <v>319</v>
      </c>
      <c r="R11" s="596">
        <f>(IF(COUNT(Z11,AA11,AB11,AC11,AD11,AE11,AF11,AG11,AH11,AI11)&lt;9,SUM(Z11,AA11,AB11,AC11,AD11,AE11,AF11,AG11,AH11,AI11),SUM(LARGE((Z11,AA11,AB11,AC11,AD11,AE11,AF11,AG11,AH11,AI11),{1;2;3;4;5;6;7;8;9}))))</f>
        <v>142</v>
      </c>
      <c r="S11" s="597" t="str">
        <f>INDEX(ETAPP!B$1:B$32,MATCH(COUNTIF(Z11:AI11,PVO!A$1),ETAPP!A$1:A$32,0))&amp;INDEX(ETAPP!B$1:B$32,MATCH(COUNTIF(Z11:AI11,PVO!A$2),ETAPP!A$1:A$32,0))&amp;INDEX(ETAPP!B$1:B$32,MATCH(COUNTIF(Z11:AI11,PVO!A$3),ETAPP!A$1:A$32,0))&amp;INDEX(ETAPP!B$1:B$32,MATCH(COUNTIF(Z11:AI11,PVO!A$4),ETAPP!A$1:A$32,0))&amp;INDEX(ETAPP!B$1:B$32,MATCH(COUNTIF(Z11:AI11,PVO!A$5),ETAPP!A$1:A$32,0))&amp;INDEX(ETAPP!B$1:B$32,MATCH(COUNTIF(Z11:AI11,PVO!A$6),ETAPP!A$1:A$32,0))&amp;INDEX(ETAPP!B$1:B$32,MATCH(COUNTIF(Z11:AI11,PVO!A$7),ETAPP!A$1:A$32,0))&amp;INDEX(ETAPP!B$1:B$32,MATCH(COUNTIF(Z11:AI11,PVO!A$8),ETAPP!A$1:A$32,0))&amp;INDEX(ETAPP!B$1:B$32,MATCH(COUNTIF(Z11:AI11,PVO!A$9),ETAPP!A$1:A$32,0))&amp;INDEX(ETAPP!B$1:B$32,MATCH(COUNTIF(Z11:AI11,PVO!A$10),ETAPP!A$1:A$32,0))&amp;INDEX(ETAPP!B$1:B$32,MATCH(COUNTIF(Z11:AI11,PVO!A$11),ETAPP!A$1:A$32,0))&amp;INDEX(ETAPP!B$1:B$32,MATCH(COUNTIF(Z11:AI11,PVO!A$12),ETAPP!A$1:A$32,0))&amp;INDEX(ETAPP!B$1:B$32,MATCH(COUNTIF(Z11:AI11,PVO!A$13),ETAPP!A$1:A$32,0))&amp;INDEX(ETAPP!B$1:B$32,MATCH(COUNTIF(Z11:AI11,PVO!A$14),ETAPP!A$1:A$32,0))&amp;INDEX(ETAPP!B$1:B$32,MATCH(COUNTIF(Z11:AI11,PVO!A$15),ETAPP!A$1:A$32,0))&amp;INDEX(ETAPP!B$1:B$32,MATCH(COUNTIF(Z11:AI11,PVO!A$16),ETAPP!A$1:A$32,0))&amp;INDEX(ETAPP!B$1:B$32,MATCH(COUNTIF(Z11:AI11,PVO!A$17),ETAPP!A$1:A$32,0))&amp;INDEX(ETAPP!B$1:B$32,MATCH(COUNTIF(Z11:AI11,PVO!A$18),ETAPP!A$1:A$32,0))&amp;INDEX(ETAPP!B$1:B$32,MATCH(COUNTIF(Z11:AI11,PVO!A$19),ETAPP!A$1:A$32,0))</f>
        <v>AAAAAA0B0AA00000000</v>
      </c>
      <c r="T11" s="597" t="str">
        <f t="shared" si="5"/>
        <v>142,0-AAAAAA0B0AA00000000</v>
      </c>
      <c r="U11" s="597">
        <f>COUNTIF(T$7:T$62,"&gt;="&amp;T11)</f>
        <v>5</v>
      </c>
      <c r="V11" s="597">
        <f>COUNTIF(L$7:L$62,"&gt;="&amp;L11)</f>
        <v>8</v>
      </c>
      <c r="W11" s="597" t="str">
        <f t="shared" si="6"/>
        <v>142,0-AAAAAA0B0AA00000000-008</v>
      </c>
      <c r="X11" s="597">
        <f>COUNTIF(W$7:W$62,"&gt;="&amp;W11)</f>
        <v>5</v>
      </c>
      <c r="Y11" s="598">
        <f>RANK(X11,X$7:X$62,0)</f>
        <v>52</v>
      </c>
      <c r="Z11" s="599">
        <f>IFERROR(INDEX('V1'!C$300:C$400,MATCH("*"&amp;L11&amp;"*",'V1'!B$300:B$400,0)),"  ")</f>
        <v>19</v>
      </c>
      <c r="AA11" s="599">
        <f>IFERROR(INDEX('V2'!C$300:C$400,MATCH("*"&amp;L11&amp;"*",'V2'!B$300:B$400,0)),"  ")</f>
        <v>13</v>
      </c>
      <c r="AB11" s="599">
        <f>IFERROR(INDEX('V3'!C$300:C$400,MATCH("*"&amp;L11&amp;"*",'V3'!B$300:B$400,0)),"  ")</f>
        <v>10</v>
      </c>
      <c r="AC11" s="599">
        <f>IFERROR(INDEX('V4'!C$300:C$400,MATCH("*"&amp;L11&amp;"*",'V4'!B$300:B$400,0)),"  ")</f>
        <v>16</v>
      </c>
      <c r="AD11" s="599">
        <f>IFERROR(INDEX('V5'!C$300:C$400,MATCH("*"&amp;L11&amp;"*",'V5'!B$300:B$400,0)),"  ")</f>
        <v>15</v>
      </c>
      <c r="AE11" s="599">
        <f>IFERROR(INDEX('V6'!C$300:C$400,MATCH("*"&amp;L11&amp;"*",'V6'!B$300:B$400,0)),"  ")</f>
        <v>17</v>
      </c>
      <c r="AF11" s="599">
        <f>IFERROR(INDEX('V7'!C$300:C$400,MATCH("*"&amp;L11&amp;"*",'V7'!B$300:B$400,0)),"  ")</f>
        <v>11</v>
      </c>
      <c r="AG11" s="599">
        <f>IFERROR(INDEX('V8'!C$300:C$400,MATCH("*"&amp;L11&amp;"*",'V8'!B$300:B$400,0)),"  ")</f>
        <v>20</v>
      </c>
      <c r="AH11" s="599">
        <f>IFERROR(INDEX('V9'!C$300:C$400,MATCH("*"&amp;L11&amp;"*",'V9'!B$300:B$400,0)),"  ")</f>
        <v>18</v>
      </c>
      <c r="AI11" s="599">
        <f>IFERROR(INDEX('V10'!C$300:C$400,MATCH("*"&amp;L11&amp;"*",'V10'!B$300:B$400,0)),"  ")</f>
        <v>13</v>
      </c>
      <c r="AJ11" s="600">
        <f t="shared" si="7"/>
        <v>1</v>
      </c>
      <c r="AK11" s="600">
        <f t="shared" si="8"/>
        <v>52</v>
      </c>
      <c r="AL11" s="601" t="str">
        <f>IFERROR("edasi "&amp;RANK(AK11,AK$7:AK$62,0),K11)</f>
        <v>edasi 5</v>
      </c>
      <c r="AM11" s="602">
        <f>IFERROR(INDEX('V-fin'!A$300:A$400,MATCH("*"&amp;L11&amp;"*",'V-fin'!B$300:B$400,0)),"  ")</f>
        <v>26</v>
      </c>
      <c r="AN11" s="603">
        <f t="shared" si="9"/>
        <v>10</v>
      </c>
      <c r="AO11" s="604">
        <f>IFERROR(IF(Z11+1&gt;LARGE(Z$7:Z$62,1)-2,1),0)+IFERROR(IF(AA11+1&gt;LARGE(AA$7:AA$62,1)-2,1),0)+IFERROR(IF(AB11+1&gt;LARGE(AB$7:AB$62,1)-2,1),0)+IFERROR(IF(AC11+1&gt;LARGE(AC$7:AC$62,1)-2,1),0)+IFERROR(IF(AD11+1&gt;LARGE(AD$7:AD$62,1)-2,1),0)+IFERROR(IF(AE11+1&gt;LARGE(AE$7:AE$62,1)-2,1),0)+IFERROR(IF(AF11+1&gt;LARGE(AF$7:AF$62,1)-2,1),0)+IFERROR(IF(AG11+1&gt;LARGE(AG$7:AG$62,1)-2,1),0)+IFERROR(IF(AH11+1&gt;LARGE(AH$7:AH$62,1)-2,1),0)+IFERROR(IF(AI11+1&gt;LARGE(AI$7:AI$62,1)-2,1),0)</f>
        <v>3</v>
      </c>
      <c r="AP11" s="604">
        <f>IF(Z11=0,0,IF(Z11=IFERROR(LARGE(Z$7:Z$62,1),0),1,0))+IF(AA11=0,0,IF(AA11=IFERROR(LARGE(AA$7:AA$62,1),0),1,0))+IF(AB11=0,0,IF(AB11=IFERROR(LARGE(AB$7:AB$62,1),0),1,0))+IF(AC11=0,0,IF(AC11=IFERROR(LARGE(AC$7:AC$62,1),0),1,0))+IF(AD11=0,0,IF(AD11=IFERROR(LARGE(AD$7:AD$62,1),0),1,0))+IF(AE11=0,0,IF(AE11=IFERROR(LARGE(AE$7:AE$62,1),0),1,0))+IF(AF11=0,0,IF(AF11=IFERROR(LARGE(AF$7:AF$62,1),0),1,0))+IF(AG11=0,0,IF(AG11=IFERROR(LARGE(AG$7:AG$62,1),0),1,0))+IF(AH11=0,0,IF(AH11=IFERROR(LARGE(AH$7:AH$62,1),0),1,0))+IF(AI11=0,0,IF(AI11=IFERROR(LARGE(AI$7:AI$62,1),0),1,0))</f>
        <v>1</v>
      </c>
      <c r="AQ11" s="512"/>
      <c r="AR11" s="605"/>
      <c r="AS11" s="606"/>
      <c r="AT11" s="606"/>
      <c r="AU11" s="606"/>
      <c r="AV11" s="606"/>
      <c r="AW11" s="605">
        <f t="shared" si="10"/>
        <v>10.000299999999999</v>
      </c>
      <c r="AX11" s="606">
        <f t="shared" si="11"/>
        <v>19.0001</v>
      </c>
      <c r="AY11" s="606">
        <f t="shared" si="11"/>
        <v>13.0002</v>
      </c>
      <c r="AZ11" s="606">
        <f t="shared" si="11"/>
        <v>10.000299999999999</v>
      </c>
      <c r="BA11" s="606">
        <f t="shared" si="11"/>
        <v>16.000399999999999</v>
      </c>
      <c r="BB11" s="606">
        <f t="shared" si="11"/>
        <v>15.000500000000001</v>
      </c>
      <c r="BC11" s="606">
        <f t="shared" si="11"/>
        <v>17.000599999999999</v>
      </c>
      <c r="BD11" s="606">
        <f t="shared" si="11"/>
        <v>11.0007</v>
      </c>
      <c r="BE11" s="606">
        <f t="shared" si="11"/>
        <v>20.000800000000002</v>
      </c>
      <c r="BF11" s="606">
        <f t="shared" si="11"/>
        <v>18.000900000000001</v>
      </c>
      <c r="BG11" s="606">
        <f t="shared" si="11"/>
        <v>13.000999999999999</v>
      </c>
    </row>
    <row r="12" spans="1:59" x14ac:dyDescent="0.2">
      <c r="A12" s="583">
        <f>IF(R12&gt;0,IF(Q12="v",RANK(B12,B$7:B$62,1)-COUNTBLANK(Q$7:Q$62),""),"")</f>
        <v>5</v>
      </c>
      <c r="B12" s="584">
        <f t="shared" si="0"/>
        <v>6</v>
      </c>
      <c r="C12" s="585">
        <f>IF(R12&gt;0,IF(P12="k",RANK(D12,D$7:D$62,1)-COUNTBLANK(P$7:P$62),""),"")</f>
        <v>1</v>
      </c>
      <c r="D12" s="584">
        <f t="shared" si="1"/>
        <v>6</v>
      </c>
      <c r="E12" s="586">
        <f>IF(R12&gt;0,IF(N12="m",RANK(F12,F$7:F$62,1)-COUNTBLANK(N$7:N$62),""),"")</f>
        <v>5</v>
      </c>
      <c r="F12" s="584">
        <f t="shared" si="2"/>
        <v>6</v>
      </c>
      <c r="G12" s="587" t="str">
        <f>IF(R12&gt;0,IF(M12="n",RANK(H12,H$7:H$62,1)-COUNTBLANK(M$7:M$62),""),"")</f>
        <v/>
      </c>
      <c r="H12" s="584">
        <f t="shared" si="3"/>
        <v>-994</v>
      </c>
      <c r="I12" s="588" t="str">
        <f>IF(R12&gt;0,IF(O12="j",RANK(J12,J$7:J$62,1)-COUNTBLANK(O$7:O$62),""),"")</f>
        <v/>
      </c>
      <c r="J12" s="589">
        <f t="shared" si="4"/>
        <v>-994</v>
      </c>
      <c r="K12" s="548">
        <f>IF(R12&gt;0,RANK(U12,U$7:U$62,1),"")</f>
        <v>6</v>
      </c>
      <c r="L12" s="607" t="s">
        <v>225</v>
      </c>
      <c r="M12" s="591"/>
      <c r="N12" s="592" t="str">
        <f t="shared" si="12"/>
        <v>m</v>
      </c>
      <c r="O12" s="593"/>
      <c r="P12" s="594" t="s">
        <v>320</v>
      </c>
      <c r="Q12" s="595" t="s">
        <v>319</v>
      </c>
      <c r="R12" s="596">
        <f>(IF(COUNT(Z12,AA12,AB12,AC12,AD12,AE12,AF12,AG12,AH12,AI12)&lt;9,SUM(Z12,AA12,AB12,AC12,AD12,AE12,AF12,AG12,AH12,AI12),SUM(LARGE((Z12,AA12,AB12,AC12,AD12,AE12,AF12,AG12,AH12,AI12),{1;2;3;4;5;6;7;8;9}))))</f>
        <v>135</v>
      </c>
      <c r="S12" s="597" t="str">
        <f>INDEX(ETAPP!B$1:B$32,MATCH(COUNTIF(Z12:AI12,PVO!A$1),ETAPP!A$1:A$32,0))&amp;INDEX(ETAPP!B$1:B$32,MATCH(COUNTIF(Z12:AI12,PVO!A$2),ETAPP!A$1:A$32,0))&amp;INDEX(ETAPP!B$1:B$32,MATCH(COUNTIF(Z12:AI12,PVO!A$3),ETAPP!A$1:A$32,0))&amp;INDEX(ETAPP!B$1:B$32,MATCH(COUNTIF(Z12:AI12,PVO!A$4),ETAPP!A$1:A$32,0))&amp;INDEX(ETAPP!B$1:B$32,MATCH(COUNTIF(Z12:AI12,PVO!A$5),ETAPP!A$1:A$32,0))&amp;INDEX(ETAPP!B$1:B$32,MATCH(COUNTIF(Z12:AI12,PVO!A$6),ETAPP!A$1:A$32,0))&amp;INDEX(ETAPP!B$1:B$32,MATCH(COUNTIF(Z12:AI12,PVO!A$7),ETAPP!A$1:A$32,0))&amp;INDEX(ETAPP!B$1:B$32,MATCH(COUNTIF(Z12:AI12,PVO!A$8),ETAPP!A$1:A$32,0))&amp;INDEX(ETAPP!B$1:B$32,MATCH(COUNTIF(Z12:AI12,PVO!A$9),ETAPP!A$1:A$32,0))&amp;INDEX(ETAPP!B$1:B$32,MATCH(COUNTIF(Z12:AI12,PVO!A$10),ETAPP!A$1:A$32,0))&amp;INDEX(ETAPP!B$1:B$32,MATCH(COUNTIF(Z12:AI12,PVO!A$11),ETAPP!A$1:A$32,0))&amp;INDEX(ETAPP!B$1:B$32,MATCH(COUNTIF(Z12:AI12,PVO!A$12),ETAPP!A$1:A$32,0))&amp;INDEX(ETAPP!B$1:B$32,MATCH(COUNTIF(Z12:AI12,PVO!A$13),ETAPP!A$1:A$32,0))&amp;INDEX(ETAPP!B$1:B$32,MATCH(COUNTIF(Z12:AI12,PVO!A$14),ETAPP!A$1:A$32,0))&amp;INDEX(ETAPP!B$1:B$32,MATCH(COUNTIF(Z12:AI12,PVO!A$15),ETAPP!A$1:A$32,0))&amp;INDEX(ETAPP!B$1:B$32,MATCH(COUNTIF(Z12:AI12,PVO!A$16),ETAPP!A$1:A$32,0))&amp;INDEX(ETAPP!B$1:B$32,MATCH(COUNTIF(Z12:AI12,PVO!A$17),ETAPP!A$1:A$32,0))&amp;INDEX(ETAPP!B$1:B$32,MATCH(COUNTIF(Z12:AI12,PVO!A$18),ETAPP!A$1:A$32,0))&amp;INDEX(ETAPP!B$1:B$32,MATCH(COUNTIF(Z12:AI12,PVO!A$19),ETAPP!A$1:A$32,0))</f>
        <v>BAAA00BA00000000000</v>
      </c>
      <c r="T12" s="597" t="str">
        <f t="shared" si="5"/>
        <v>135,0-BAAA00BA00000000000</v>
      </c>
      <c r="U12" s="597">
        <f>COUNTIF(T$7:T$62,"&gt;="&amp;T12)</f>
        <v>6</v>
      </c>
      <c r="V12" s="597">
        <f>COUNTIF(L$7:L$62,"&gt;="&amp;L12)</f>
        <v>32</v>
      </c>
      <c r="W12" s="597" t="str">
        <f t="shared" si="6"/>
        <v>135,0-BAAA00BA00000000000-032</v>
      </c>
      <c r="X12" s="597">
        <f>COUNTIF(W$7:W$62,"&gt;="&amp;W12)</f>
        <v>6</v>
      </c>
      <c r="Y12" s="598">
        <f>RANK(X12,X$7:X$62,0)</f>
        <v>51</v>
      </c>
      <c r="Z12" s="599" t="str">
        <f>IFERROR(INDEX('V1'!C$300:C$400,MATCH("*"&amp;L12&amp;"*",'V1'!B$300:B$400,0)),"  ")</f>
        <v xml:space="preserve">  </v>
      </c>
      <c r="AA12" s="599">
        <f>IFERROR(INDEX('V2'!C$300:C$400,MATCH("*"&amp;L12&amp;"*",'V2'!B$300:B$400,0)),"  ")</f>
        <v>20</v>
      </c>
      <c r="AB12" s="599">
        <f>IFERROR(INDEX('V3'!C$300:C$400,MATCH("*"&amp;L12&amp;"*",'V3'!B$300:B$400,0)),"  ")</f>
        <v>13</v>
      </c>
      <c r="AC12" s="599">
        <f>IFERROR(INDEX('V4'!C$300:C$400,MATCH("*"&amp;L12&amp;"*",'V4'!B$300:B$400,0)),"  ")</f>
        <v>19</v>
      </c>
      <c r="AD12" s="599" t="str">
        <f>IFERROR(INDEX('V5'!C$300:C$400,MATCH("*"&amp;L12&amp;"*",'V5'!B$300:B$400,0)),"  ")</f>
        <v xml:space="preserve">  </v>
      </c>
      <c r="AE12" s="599">
        <f>IFERROR(INDEX('V6'!C$300:C$400,MATCH("*"&amp;L12&amp;"*",'V6'!B$300:B$400,0)),"  ")</f>
        <v>14</v>
      </c>
      <c r="AF12" s="599">
        <f>IFERROR(INDEX('V7'!C$300:C$400,MATCH("*"&amp;L12&amp;"*",'V7'!B$300:B$400,0)),"  ")</f>
        <v>18</v>
      </c>
      <c r="AG12" s="599">
        <f>IFERROR(INDEX('V8'!C$300:C$400,MATCH("*"&amp;L12&amp;"*",'V8'!B$300:B$400,0)),"  ")</f>
        <v>14</v>
      </c>
      <c r="AH12" s="599">
        <f>IFERROR(INDEX('V9'!C$300:C$400,MATCH("*"&amp;L12&amp;"*",'V9'!B$300:B$400,0)),"  ")</f>
        <v>20</v>
      </c>
      <c r="AI12" s="599">
        <f>IFERROR(INDEX('V10'!C$300:C$400,MATCH("*"&amp;L12&amp;"*",'V10'!B$300:B$400,0)),"  ")</f>
        <v>17</v>
      </c>
      <c r="AJ12" s="600">
        <f t="shared" si="7"/>
        <v>1</v>
      </c>
      <c r="AK12" s="600">
        <f t="shared" si="8"/>
        <v>51</v>
      </c>
      <c r="AL12" s="601" t="str">
        <f>IFERROR("edasi "&amp;RANK(AK12,AK$7:AK$62,0),K12)</f>
        <v>edasi 6</v>
      </c>
      <c r="AM12" s="602">
        <f>IFERROR(INDEX('V-fin'!A$300:A$400,MATCH("*"&amp;L12&amp;"*",'V-fin'!B$300:B$400,0)),"  ")</f>
        <v>17</v>
      </c>
      <c r="AN12" s="603">
        <f t="shared" si="9"/>
        <v>8</v>
      </c>
      <c r="AO12" s="604">
        <f>IFERROR(IF(Z12+1&gt;LARGE(Z$7:Z$62,1)-2,1),0)+IFERROR(IF(AA12+1&gt;LARGE(AA$7:AA$62,1)-2,1),0)+IFERROR(IF(AB12+1&gt;LARGE(AB$7:AB$62,1)-2,1),0)+IFERROR(IF(AC12+1&gt;LARGE(AC$7:AC$62,1)-2,1),0)+IFERROR(IF(AD12+1&gt;LARGE(AD$7:AD$62,1)-2,1),0)+IFERROR(IF(AE12+1&gt;LARGE(AE$7:AE$62,1)-2,1),0)+IFERROR(IF(AF12+1&gt;LARGE(AF$7:AF$62,1)-2,1),0)+IFERROR(IF(AG12+1&gt;LARGE(AG$7:AG$62,1)-2,1),0)+IFERROR(IF(AH12+1&gt;LARGE(AH$7:AH$62,1)-2,1),0)+IFERROR(IF(AI12+1&gt;LARGE(AI$7:AI$62,1)-2,1),0)</f>
        <v>4</v>
      </c>
      <c r="AP12" s="604">
        <f>IF(Z12=0,0,IF(Z12=IFERROR(LARGE(Z$7:Z$62,1),0),1,0))+IF(AA12=0,0,IF(AA12=IFERROR(LARGE(AA$7:AA$62,1),0),1,0))+IF(AB12=0,0,IF(AB12=IFERROR(LARGE(AB$7:AB$62,1),0),1,0))+IF(AC12=0,0,IF(AC12=IFERROR(LARGE(AC$7:AC$62,1),0),1,0))+IF(AD12=0,0,IF(AD12=IFERROR(LARGE(AD$7:AD$62,1),0),1,0))+IF(AE12=0,0,IF(AE12=IFERROR(LARGE(AE$7:AE$62,1),0),1,0))+IF(AF12=0,0,IF(AF12=IFERROR(LARGE(AF$7:AF$62,1),0),1,0))+IF(AG12=0,0,IF(AG12=IFERROR(LARGE(AG$7:AG$62,1),0),1,0))+IF(AH12=0,0,IF(AH12=IFERROR(LARGE(AH$7:AH$62,1),0),1,0))+IF(AI12=0,0,IF(AI12=IFERROR(LARGE(AI$7:AI$62,1),0),1,0))</f>
        <v>2</v>
      </c>
      <c r="AQ12" s="512"/>
      <c r="AR12" s="605"/>
      <c r="AS12" s="606"/>
      <c r="AT12" s="606"/>
      <c r="AU12" s="606"/>
      <c r="AV12" s="606"/>
      <c r="AW12" s="605">
        <f t="shared" si="10"/>
        <v>1E-4</v>
      </c>
      <c r="AX12" s="606">
        <f t="shared" si="11"/>
        <v>1E-4</v>
      </c>
      <c r="AY12" s="606">
        <f t="shared" si="11"/>
        <v>20.0002</v>
      </c>
      <c r="AZ12" s="606">
        <f t="shared" si="11"/>
        <v>13.000299999999999</v>
      </c>
      <c r="BA12" s="606">
        <f t="shared" si="11"/>
        <v>19.000399999999999</v>
      </c>
      <c r="BB12" s="606">
        <f t="shared" si="11"/>
        <v>5.0000000000000001E-4</v>
      </c>
      <c r="BC12" s="606">
        <f t="shared" si="11"/>
        <v>14.0006</v>
      </c>
      <c r="BD12" s="606">
        <f t="shared" si="11"/>
        <v>18.000699999999998</v>
      </c>
      <c r="BE12" s="606">
        <f t="shared" si="11"/>
        <v>14.0008</v>
      </c>
      <c r="BF12" s="606">
        <f t="shared" si="11"/>
        <v>20.000900000000001</v>
      </c>
      <c r="BG12" s="606">
        <f t="shared" si="11"/>
        <v>17.001000000000001</v>
      </c>
    </row>
    <row r="13" spans="1:59" x14ac:dyDescent="0.2">
      <c r="A13" s="583">
        <f>IF(R13&gt;0,IF(Q13="v",RANK(B13,B$7:B$62,1)-COUNTBLANK(Q$7:Q$62),""),"")</f>
        <v>6</v>
      </c>
      <c r="B13" s="584">
        <f t="shared" si="0"/>
        <v>7</v>
      </c>
      <c r="C13" s="585" t="str">
        <f>IF(R13&gt;0,IF(P13="k",RANK(D13,D$7:D$62,1)-COUNTBLANK(P$7:P$62),""),"")</f>
        <v/>
      </c>
      <c r="D13" s="584">
        <f t="shared" si="1"/>
        <v>-993</v>
      </c>
      <c r="E13" s="586">
        <f>IF(R13&gt;0,IF(N13="m",RANK(F13,F$7:F$62,1)-COUNTBLANK(N$7:N$62),""),"")</f>
        <v>6</v>
      </c>
      <c r="F13" s="584">
        <f t="shared" si="2"/>
        <v>7</v>
      </c>
      <c r="G13" s="587" t="str">
        <f>IF(R13&gt;0,IF(M13="n",RANK(H13,H$7:H$62,1)-COUNTBLANK(M$7:M$62),""),"")</f>
        <v/>
      </c>
      <c r="H13" s="584">
        <f t="shared" si="3"/>
        <v>-993</v>
      </c>
      <c r="I13" s="588" t="str">
        <f>IF(R13&gt;0,IF(O13="j",RANK(J13,J$7:J$62,1)-COUNTBLANK(O$7:O$62),""),"")</f>
        <v/>
      </c>
      <c r="J13" s="589">
        <f t="shared" si="4"/>
        <v>-993</v>
      </c>
      <c r="K13" s="548">
        <f>IF(R13&gt;0,RANK(U13,U$7:U$62,1),"")</f>
        <v>7</v>
      </c>
      <c r="L13" s="608" t="s">
        <v>245</v>
      </c>
      <c r="M13" s="591"/>
      <c r="N13" s="592" t="str">
        <f t="shared" si="12"/>
        <v>m</v>
      </c>
      <c r="O13" s="593"/>
      <c r="P13" s="594"/>
      <c r="Q13" s="595" t="s">
        <v>319</v>
      </c>
      <c r="R13" s="596">
        <f>(IF(COUNT(Z13,AA13,AB13,AC13,AD13,AE13,AF13,AG13,AH13,AI13)&lt;9,SUM(Z13,AA13,AB13,AC13,AD13,AE13,AF13,AG13,AH13,AI13),SUM(LARGE((Z13,AA13,AB13,AC13,AD13,AE13,AF13,AG13,AH13,AI13),{1;2;3;4;5;6;7;8;9}))))</f>
        <v>125</v>
      </c>
      <c r="S13" s="597" t="str">
        <f>INDEX(ETAPP!B$1:B$32,MATCH(COUNTIF(Z13:AI13,PVO!A$1),ETAPP!A$1:A$32,0))&amp;INDEX(ETAPP!B$1:B$32,MATCH(COUNTIF(Z13:AI13,PVO!A$2),ETAPP!A$1:A$32,0))&amp;INDEX(ETAPP!B$1:B$32,MATCH(COUNTIF(Z13:AI13,PVO!A$3),ETAPP!A$1:A$32,0))&amp;INDEX(ETAPP!B$1:B$32,MATCH(COUNTIF(Z13:AI13,PVO!A$4),ETAPP!A$1:A$32,0))&amp;INDEX(ETAPP!B$1:B$32,MATCH(COUNTIF(Z13:AI13,PVO!A$5),ETAPP!A$1:A$32,0))&amp;INDEX(ETAPP!B$1:B$32,MATCH(COUNTIF(Z13:AI13,PVO!A$6),ETAPP!A$1:A$32,0))&amp;INDEX(ETAPP!B$1:B$32,MATCH(COUNTIF(Z13:AI13,PVO!A$7),ETAPP!A$1:A$32,0))&amp;INDEX(ETAPP!B$1:B$32,MATCH(COUNTIF(Z13:AI13,PVO!A$8),ETAPP!A$1:A$32,0))&amp;INDEX(ETAPP!B$1:B$32,MATCH(COUNTIF(Z13:AI13,PVO!A$9),ETAPP!A$1:A$32,0))&amp;INDEX(ETAPP!B$1:B$32,MATCH(COUNTIF(Z13:AI13,PVO!A$10),ETAPP!A$1:A$32,0))&amp;INDEX(ETAPP!B$1:B$32,MATCH(COUNTIF(Z13:AI13,PVO!A$11),ETAPP!A$1:A$32,0))&amp;INDEX(ETAPP!B$1:B$32,MATCH(COUNTIF(Z13:AI13,PVO!A$12),ETAPP!A$1:A$32,0))&amp;INDEX(ETAPP!B$1:B$32,MATCH(COUNTIF(Z13:AI13,PVO!A$13),ETAPP!A$1:A$32,0))&amp;INDEX(ETAPP!B$1:B$32,MATCH(COUNTIF(Z13:AI13,PVO!A$14),ETAPP!A$1:A$32,0))&amp;INDEX(ETAPP!B$1:B$32,MATCH(COUNTIF(Z13:AI13,PVO!A$15),ETAPP!A$1:A$32,0))&amp;INDEX(ETAPP!B$1:B$32,MATCH(COUNTIF(Z13:AI13,PVO!A$16),ETAPP!A$1:A$32,0))&amp;INDEX(ETAPP!B$1:B$32,MATCH(COUNTIF(Z13:AI13,PVO!A$17),ETAPP!A$1:A$32,0))&amp;INDEX(ETAPP!B$1:B$32,MATCH(COUNTIF(Z13:AI13,PVO!A$18),ETAPP!A$1:A$32,0))&amp;INDEX(ETAPP!B$1:B$32,MATCH(COUNTIF(Z13:AI13,PVO!A$19),ETAPP!A$1:A$32,0))</f>
        <v>00A0AC0B0A0A0000000</v>
      </c>
      <c r="T13" s="597" t="str">
        <f t="shared" si="5"/>
        <v>125,0-00A0AC0B0A0A0000000</v>
      </c>
      <c r="U13" s="597">
        <f>COUNTIF(T$7:T$62,"&gt;="&amp;T13)</f>
        <v>7</v>
      </c>
      <c r="V13" s="597">
        <f>COUNTIF(L$7:L$62,"&gt;="&amp;L13)</f>
        <v>35</v>
      </c>
      <c r="W13" s="597" t="str">
        <f t="shared" si="6"/>
        <v>125,0-00A0AC0B0A0A0000000-035</v>
      </c>
      <c r="X13" s="597">
        <f>COUNTIF(W$7:W$62,"&gt;="&amp;W13)</f>
        <v>7</v>
      </c>
      <c r="Y13" s="598">
        <f>RANK(X13,X$7:X$62,0)</f>
        <v>50</v>
      </c>
      <c r="Z13" s="599" t="str">
        <f>IFERROR(INDEX('V1'!C$300:C$400,MATCH("*"&amp;L13&amp;"*",'V1'!B$300:B$400,0)),"  ")</f>
        <v xml:space="preserve">  </v>
      </c>
      <c r="AA13" s="599">
        <f>IFERROR(INDEX('V2'!C$300:C$400,MATCH("*"&amp;L13&amp;"*",'V2'!B$300:B$400,0)),"  ")</f>
        <v>15</v>
      </c>
      <c r="AB13" s="599">
        <f>IFERROR(INDEX('V3'!C$300:C$400,MATCH("*"&amp;L13&amp;"*",'V3'!B$300:B$400,0)),"  ")</f>
        <v>16</v>
      </c>
      <c r="AC13" s="599">
        <f>IFERROR(INDEX('V4'!C$300:C$400,MATCH("*"&amp;L13&amp;"*",'V4'!B$300:B$400,0)),"  ")</f>
        <v>18</v>
      </c>
      <c r="AD13" s="599">
        <f>IFERROR(INDEX('V5'!C$300:C$400,MATCH("*"&amp;L13&amp;"*",'V5'!B$300:B$400,0)),"  ")</f>
        <v>13</v>
      </c>
      <c r="AE13" s="599">
        <f>IFERROR(INDEX('V6'!C$300:C$400,MATCH("*"&amp;L13&amp;"*",'V6'!B$300:B$400,0)),"  ")</f>
        <v>15</v>
      </c>
      <c r="AF13" s="599">
        <f>IFERROR(INDEX('V7'!C$300:C$400,MATCH("*"&amp;L13&amp;"*",'V7'!B$300:B$400,0)),"  ")</f>
        <v>9</v>
      </c>
      <c r="AG13" s="599">
        <f>IFERROR(INDEX('V8'!C$300:C$400,MATCH("*"&amp;L13&amp;"*",'V8'!B$300:B$400,0)),"  ")</f>
        <v>15</v>
      </c>
      <c r="AH13" s="599">
        <f>IFERROR(INDEX('V9'!C$300:C$400,MATCH("*"&amp;L13&amp;"*",'V9'!B$300:B$400,0)),"  ")</f>
        <v>13</v>
      </c>
      <c r="AI13" s="599">
        <f>IFERROR(INDEX('V10'!C$300:C$400,MATCH("*"&amp;L13&amp;"*",'V10'!B$300:B$400,0)),"  ")</f>
        <v>11</v>
      </c>
      <c r="AJ13" s="600">
        <f t="shared" si="7"/>
        <v>1</v>
      </c>
      <c r="AK13" s="600">
        <f t="shared" si="8"/>
        <v>50</v>
      </c>
      <c r="AL13" s="601" t="str">
        <f>IFERROR("edasi "&amp;RANK(AK13,AK$7:AK$62,0),K13)</f>
        <v>edasi 7</v>
      </c>
      <c r="AM13" s="602">
        <f>IFERROR(INDEX('V-fin'!A$300:A$400,MATCH("*"&amp;L13&amp;"*",'V-fin'!B$300:B$400,0)),"  ")</f>
        <v>28</v>
      </c>
      <c r="AN13" s="603">
        <f t="shared" si="9"/>
        <v>9</v>
      </c>
      <c r="AO13" s="604">
        <f>IFERROR(IF(Z13+1&gt;LARGE(Z$7:Z$62,1)-2,1),0)+IFERROR(IF(AA13+1&gt;LARGE(AA$7:AA$62,1)-2,1),0)+IFERROR(IF(AB13+1&gt;LARGE(AB$7:AB$62,1)-2,1),0)+IFERROR(IF(AC13+1&gt;LARGE(AC$7:AC$62,1)-2,1),0)+IFERROR(IF(AD13+1&gt;LARGE(AD$7:AD$62,1)-2,1),0)+IFERROR(IF(AE13+1&gt;LARGE(AE$7:AE$62,1)-2,1),0)+IFERROR(IF(AF13+1&gt;LARGE(AF$7:AF$62,1)-2,1),0)+IFERROR(IF(AG13+1&gt;LARGE(AG$7:AG$62,1)-2,1),0)+IFERROR(IF(AH13+1&gt;LARGE(AH$7:AH$62,1)-2,1),0)+IFERROR(IF(AI13+1&gt;LARGE(AI$7:AI$62,1)-2,1),0)</f>
        <v>1</v>
      </c>
      <c r="AP13" s="604">
        <f>IF(Z13=0,0,IF(Z13=IFERROR(LARGE(Z$7:Z$62,1),0),1,0))+IF(AA13=0,0,IF(AA13=IFERROR(LARGE(AA$7:AA$62,1),0),1,0))+IF(AB13=0,0,IF(AB13=IFERROR(LARGE(AB$7:AB$62,1),0),1,0))+IF(AC13=0,0,IF(AC13=IFERROR(LARGE(AC$7:AC$62,1),0),1,0))+IF(AD13=0,0,IF(AD13=IFERROR(LARGE(AD$7:AD$62,1),0),1,0))+IF(AE13=0,0,IF(AE13=IFERROR(LARGE(AE$7:AE$62,1),0),1,0))+IF(AF13=0,0,IF(AF13=IFERROR(LARGE(AF$7:AF$62,1),0),1,0))+IF(AG13=0,0,IF(AG13=IFERROR(LARGE(AG$7:AG$62,1),0),1,0))+IF(AH13=0,0,IF(AH13=IFERROR(LARGE(AH$7:AH$62,1),0),1,0))+IF(AI13=0,0,IF(AI13=IFERROR(LARGE(AI$7:AI$62,1),0),1,0))</f>
        <v>0</v>
      </c>
      <c r="AQ13" s="512"/>
      <c r="AR13" s="605"/>
      <c r="AS13" s="606"/>
      <c r="AT13" s="606"/>
      <c r="AU13" s="606"/>
      <c r="AV13" s="606"/>
      <c r="AW13" s="605">
        <f t="shared" si="10"/>
        <v>1E-4</v>
      </c>
      <c r="AX13" s="606">
        <f t="shared" si="11"/>
        <v>1E-4</v>
      </c>
      <c r="AY13" s="606">
        <f t="shared" si="11"/>
        <v>15.0002</v>
      </c>
      <c r="AZ13" s="606">
        <f t="shared" si="11"/>
        <v>16.000299999999999</v>
      </c>
      <c r="BA13" s="606">
        <f t="shared" si="11"/>
        <v>18.000399999999999</v>
      </c>
      <c r="BB13" s="606">
        <f t="shared" si="11"/>
        <v>13.000500000000001</v>
      </c>
      <c r="BC13" s="606">
        <f t="shared" si="11"/>
        <v>15.0006</v>
      </c>
      <c r="BD13" s="606">
        <f t="shared" si="11"/>
        <v>9.0007000000000001</v>
      </c>
      <c r="BE13" s="606">
        <f t="shared" si="11"/>
        <v>15.0008</v>
      </c>
      <c r="BF13" s="606">
        <f t="shared" si="11"/>
        <v>13.0009</v>
      </c>
      <c r="BG13" s="606">
        <f t="shared" si="11"/>
        <v>11.000999999999999</v>
      </c>
    </row>
    <row r="14" spans="1:59" x14ac:dyDescent="0.2">
      <c r="A14" s="583">
        <f>IF(R14&gt;0,IF(Q14="v",RANK(B14,B$7:B$62,1)-COUNTBLANK(Q$7:Q$62),""),"")</f>
        <v>7</v>
      </c>
      <c r="B14" s="584">
        <f t="shared" si="0"/>
        <v>8</v>
      </c>
      <c r="C14" s="585">
        <f>IF(R14&gt;0,IF(P14="k",RANK(D14,D$7:D$62,1)-COUNTBLANK(P$7:P$62),""),"")</f>
        <v>2</v>
      </c>
      <c r="D14" s="584">
        <f t="shared" si="1"/>
        <v>8</v>
      </c>
      <c r="E14" s="586">
        <f>IF(R14&gt;0,IF(N14="m",RANK(F14,F$7:F$62,1)-COUNTBLANK(N$7:N$62),""),"")</f>
        <v>7</v>
      </c>
      <c r="F14" s="584">
        <f t="shared" si="2"/>
        <v>8</v>
      </c>
      <c r="G14" s="587" t="str">
        <f>IF(R14&gt;0,IF(M14="n",RANK(H14,H$7:H$62,1)-COUNTBLANK(M$7:M$62),""),"")</f>
        <v/>
      </c>
      <c r="H14" s="584">
        <f t="shared" si="3"/>
        <v>-992</v>
      </c>
      <c r="I14" s="588" t="str">
        <f>IF(R14&gt;0,IF(O14="j",RANK(J14,J$7:J$62,1)-COUNTBLANK(O$7:O$62),""),"")</f>
        <v/>
      </c>
      <c r="J14" s="589">
        <f t="shared" si="4"/>
        <v>-992</v>
      </c>
      <c r="K14" s="548">
        <f>IF(R14&gt;0,RANK(U14,U$7:U$62,1),"")</f>
        <v>8</v>
      </c>
      <c r="L14" s="609" t="s">
        <v>262</v>
      </c>
      <c r="M14" s="591"/>
      <c r="N14" s="592" t="str">
        <f t="shared" si="12"/>
        <v>m</v>
      </c>
      <c r="O14" s="593"/>
      <c r="P14" s="594" t="s">
        <v>320</v>
      </c>
      <c r="Q14" s="595" t="s">
        <v>319</v>
      </c>
      <c r="R14" s="596">
        <f>(IF(COUNT(Z14,AA14,AB14,AC14,AD14,AE14,AF14,AG14,AH14,AI14)&lt;9,SUM(Z14,AA14,AB14,AC14,AD14,AE14,AF14,AG14,AH14,AI14),SUM(LARGE((Z14,AA14,AB14,AC14,AD14,AE14,AF14,AG14,AH14,AI14),{1;2;3;4;5;6;7;8;9}))))</f>
        <v>118</v>
      </c>
      <c r="S14" s="597" t="str">
        <f>INDEX(ETAPP!B$1:B$32,MATCH(COUNTIF(Z14:AI14,PVO!A$1),ETAPP!A$1:A$32,0))&amp;INDEX(ETAPP!B$1:B$32,MATCH(COUNTIF(Z14:AI14,PVO!A$2),ETAPP!A$1:A$32,0))&amp;INDEX(ETAPP!B$1:B$32,MATCH(COUNTIF(Z14:AI14,PVO!A$3),ETAPP!A$1:A$32,0))&amp;INDEX(ETAPP!B$1:B$32,MATCH(COUNTIF(Z14:AI14,PVO!A$4),ETAPP!A$1:A$32,0))&amp;INDEX(ETAPP!B$1:B$32,MATCH(COUNTIF(Z14:AI14,PVO!A$5),ETAPP!A$1:A$32,0))&amp;INDEX(ETAPP!B$1:B$32,MATCH(COUNTIF(Z14:AI14,PVO!A$6),ETAPP!A$1:A$32,0))&amp;INDEX(ETAPP!B$1:B$32,MATCH(COUNTIF(Z14:AI14,PVO!A$7),ETAPP!A$1:A$32,0))&amp;INDEX(ETAPP!B$1:B$32,MATCH(COUNTIF(Z14:AI14,PVO!A$8),ETAPP!A$1:A$32,0))&amp;INDEX(ETAPP!B$1:B$32,MATCH(COUNTIF(Z14:AI14,PVO!A$9),ETAPP!A$1:A$32,0))&amp;INDEX(ETAPP!B$1:B$32,MATCH(COUNTIF(Z14:AI14,PVO!A$10),ETAPP!A$1:A$32,0))&amp;INDEX(ETAPP!B$1:B$32,MATCH(COUNTIF(Z14:AI14,PVO!A$11),ETAPP!A$1:A$32,0))&amp;INDEX(ETAPP!B$1:B$32,MATCH(COUNTIF(Z14:AI14,PVO!A$12),ETAPP!A$1:A$32,0))&amp;INDEX(ETAPP!B$1:B$32,MATCH(COUNTIF(Z14:AI14,PVO!A$13),ETAPP!A$1:A$32,0))&amp;INDEX(ETAPP!B$1:B$32,MATCH(COUNTIF(Z14:AI14,PVO!A$14),ETAPP!A$1:A$32,0))&amp;INDEX(ETAPP!B$1:B$32,MATCH(COUNTIF(Z14:AI14,PVO!A$15),ETAPP!A$1:A$32,0))&amp;INDEX(ETAPP!B$1:B$32,MATCH(COUNTIF(Z14:AI14,PVO!A$16),ETAPP!A$1:A$32,0))&amp;INDEX(ETAPP!B$1:B$32,MATCH(COUNTIF(Z14:AI14,PVO!A$17),ETAPP!A$1:A$32,0))&amp;INDEX(ETAPP!B$1:B$32,MATCH(COUNTIF(Z14:AI14,PVO!A$18),ETAPP!A$1:A$32,0))&amp;INDEX(ETAPP!B$1:B$32,MATCH(COUNTIF(Z14:AI14,PVO!A$19),ETAPP!A$1:A$32,0))</f>
        <v>00B0AA00B0AAA000000</v>
      </c>
      <c r="T14" s="597" t="str">
        <f t="shared" si="5"/>
        <v>118,0-00B0AA00B0AAA000000</v>
      </c>
      <c r="U14" s="597">
        <f>COUNTIF(T$7:T$62,"&gt;="&amp;T14)</f>
        <v>8</v>
      </c>
      <c r="V14" s="597">
        <f>COUNTIF(L$7:L$62,"&gt;="&amp;L14)</f>
        <v>12</v>
      </c>
      <c r="W14" s="597" t="str">
        <f t="shared" si="6"/>
        <v>118,0-00B0AA00B0AAA000000-012</v>
      </c>
      <c r="X14" s="597">
        <f>COUNTIF(W$7:W$62,"&gt;="&amp;W14)</f>
        <v>8</v>
      </c>
      <c r="Y14" s="598">
        <f>RANK(X14,X$7:X$62,0)</f>
        <v>49</v>
      </c>
      <c r="Z14" s="599">
        <f>IFERROR(INDEX('V1'!C$300:C$400,MATCH("*"&amp;L14&amp;"*",'V1'!B$300:B$400,0)),"  ")</f>
        <v>15</v>
      </c>
      <c r="AA14" s="599">
        <f>IFERROR(INDEX('V2'!C$300:C$400,MATCH("*"&amp;L14&amp;"*",'V2'!B$300:B$400,0)),"  ")</f>
        <v>8</v>
      </c>
      <c r="AB14" s="599">
        <f>IFERROR(INDEX('V3'!C$300:C$400,MATCH("*"&amp;L14&amp;"*",'V3'!B$300:B$400,0)),"  ")</f>
        <v>12</v>
      </c>
      <c r="AC14" s="599">
        <f>IFERROR(INDEX('V4'!C$300:C$400,MATCH("*"&amp;L14&amp;"*",'V4'!B$300:B$400,0)),"  ")</f>
        <v>9</v>
      </c>
      <c r="AD14" s="599">
        <f>IFERROR(INDEX('V5'!C$300:C$400,MATCH("*"&amp;L14&amp;"*",'V5'!B$300:B$400,0)),"  ")</f>
        <v>18</v>
      </c>
      <c r="AE14" s="599">
        <f>IFERROR(INDEX('V6'!C$300:C$400,MATCH("*"&amp;L14&amp;"*",'V6'!B$300:B$400,0)),"  ")</f>
        <v>18</v>
      </c>
      <c r="AF14" s="599">
        <f>IFERROR(INDEX('V7'!C$300:C$400,MATCH("*"&amp;L14&amp;"*",'V7'!B$300:B$400,0)),"  ")</f>
        <v>12</v>
      </c>
      <c r="AG14" s="599" t="str">
        <f>IFERROR(INDEX('V8'!C$300:C$400,MATCH("*"&amp;L14&amp;"*",'V8'!B$300:B$400,0)),"  ")</f>
        <v xml:space="preserve">  </v>
      </c>
      <c r="AH14" s="599">
        <f>IFERROR(INDEX('V9'!C$300:C$400,MATCH("*"&amp;L14&amp;"*",'V9'!B$300:B$400,0)),"  ")</f>
        <v>16</v>
      </c>
      <c r="AI14" s="599">
        <f>IFERROR(INDEX('V10'!C$300:C$400,MATCH("*"&amp;L14&amp;"*",'V10'!B$300:B$400,0)),"  ")</f>
        <v>10</v>
      </c>
      <c r="AJ14" s="600">
        <f t="shared" si="7"/>
        <v>1</v>
      </c>
      <c r="AK14" s="600">
        <f t="shared" si="8"/>
        <v>49</v>
      </c>
      <c r="AL14" s="601" t="str">
        <f>IFERROR("edasi "&amp;RANK(AK14,AK$7:AK$62,0),K14)</f>
        <v>edasi 8</v>
      </c>
      <c r="AM14" s="602">
        <f>IFERROR(INDEX('V-fin'!A$300:A$400,MATCH("*"&amp;L14&amp;"*",'V-fin'!B$300:B$400,0)),"  ")</f>
        <v>9</v>
      </c>
      <c r="AN14" s="603">
        <f t="shared" si="9"/>
        <v>9</v>
      </c>
      <c r="AO14" s="604">
        <f>IFERROR(IF(Z14+1&gt;LARGE(Z$7:Z$62,1)-2,1),0)+IFERROR(IF(AA14+1&gt;LARGE(AA$7:AA$62,1)-2,1),0)+IFERROR(IF(AB14+1&gt;LARGE(AB$7:AB$62,1)-2,1),0)+IFERROR(IF(AC14+1&gt;LARGE(AC$7:AC$62,1)-2,1),0)+IFERROR(IF(AD14+1&gt;LARGE(AD$7:AD$62,1)-2,1),0)+IFERROR(IF(AE14+1&gt;LARGE(AE$7:AE$62,1)-2,1),0)+IFERROR(IF(AF14+1&gt;LARGE(AF$7:AF$62,1)-2,1),0)+IFERROR(IF(AG14+1&gt;LARGE(AG$7:AG$62,1)-2,1),0)+IFERROR(IF(AH14+1&gt;LARGE(AH$7:AH$62,1)-2,1),0)+IFERROR(IF(AI14+1&gt;LARGE(AI$7:AI$62,1)-2,1),0)</f>
        <v>2</v>
      </c>
      <c r="AP14" s="604">
        <f>IF(Z14=0,0,IF(Z14=IFERROR(LARGE(Z$7:Z$62,1),0),1,0))+IF(AA14=0,0,IF(AA14=IFERROR(LARGE(AA$7:AA$62,1),0),1,0))+IF(AB14=0,0,IF(AB14=IFERROR(LARGE(AB$7:AB$62,1),0),1,0))+IF(AC14=0,0,IF(AC14=IFERROR(LARGE(AC$7:AC$62,1),0),1,0))+IF(AD14=0,0,IF(AD14=IFERROR(LARGE(AD$7:AD$62,1),0),1,0))+IF(AE14=0,0,IF(AE14=IFERROR(LARGE(AE$7:AE$62,1),0),1,0))+IF(AF14=0,0,IF(AF14=IFERROR(LARGE(AF$7:AF$62,1),0),1,0))+IF(AG14=0,0,IF(AG14=IFERROR(LARGE(AG$7:AG$62,1),0),1,0))+IF(AH14=0,0,IF(AH14=IFERROR(LARGE(AH$7:AH$62,1),0),1,0))+IF(AI14=0,0,IF(AI14=IFERROR(LARGE(AI$7:AI$62,1),0),1,0))</f>
        <v>0</v>
      </c>
      <c r="AQ14" s="512"/>
      <c r="AR14" s="605"/>
      <c r="AS14" s="606"/>
      <c r="AT14" s="606"/>
      <c r="AU14" s="606"/>
      <c r="AV14" s="606"/>
      <c r="AW14" s="605">
        <f t="shared" si="10"/>
        <v>8.0000000000000004E-4</v>
      </c>
      <c r="AX14" s="606">
        <f t="shared" si="11"/>
        <v>15.0001</v>
      </c>
      <c r="AY14" s="606">
        <f t="shared" si="11"/>
        <v>8.0001999999999995</v>
      </c>
      <c r="AZ14" s="606">
        <f t="shared" si="11"/>
        <v>12.000299999999999</v>
      </c>
      <c r="BA14" s="606">
        <f t="shared" si="11"/>
        <v>9.0004000000000008</v>
      </c>
      <c r="BB14" s="606">
        <f t="shared" si="11"/>
        <v>18.000499999999999</v>
      </c>
      <c r="BC14" s="606">
        <f t="shared" si="11"/>
        <v>18.000599999999999</v>
      </c>
      <c r="BD14" s="606">
        <f t="shared" si="11"/>
        <v>12.0007</v>
      </c>
      <c r="BE14" s="606">
        <f t="shared" si="11"/>
        <v>8.0000000000000004E-4</v>
      </c>
      <c r="BF14" s="606">
        <f t="shared" si="11"/>
        <v>16.000900000000001</v>
      </c>
      <c r="BG14" s="606">
        <f t="shared" si="11"/>
        <v>10.000999999999999</v>
      </c>
    </row>
    <row r="15" spans="1:59" x14ac:dyDescent="0.2">
      <c r="A15" s="583">
        <f>IF(R15&gt;0,IF(Q15="v",RANK(B15,B$7:B$62,1)-COUNTBLANK(Q$7:Q$62),""),"")</f>
        <v>8</v>
      </c>
      <c r="B15" s="584">
        <f t="shared" si="0"/>
        <v>9</v>
      </c>
      <c r="C15" s="585" t="str">
        <f>IF(R15&gt;0,IF(P15="k",RANK(D15,D$7:D$62,1)-COUNTBLANK(P$7:P$62),""),"")</f>
        <v/>
      </c>
      <c r="D15" s="584">
        <f t="shared" si="1"/>
        <v>-991</v>
      </c>
      <c r="E15" s="586">
        <f>IF(R15&gt;0,IF(N15="m",RANK(F15,F$7:F$62,1)-COUNTBLANK(N$7:N$62),""),"")</f>
        <v>8</v>
      </c>
      <c r="F15" s="584">
        <f t="shared" si="2"/>
        <v>9</v>
      </c>
      <c r="G15" s="587" t="str">
        <f>IF(R15&gt;0,IF(M15="n",RANK(H15,H$7:H$62,1)-COUNTBLANK(M$7:M$62),""),"")</f>
        <v/>
      </c>
      <c r="H15" s="584">
        <f t="shared" si="3"/>
        <v>-991</v>
      </c>
      <c r="I15" s="588" t="str">
        <f>IF(R15&gt;0,IF(O15="j",RANK(J15,J$7:J$62,1)-COUNTBLANK(O$7:O$62),""),"")</f>
        <v/>
      </c>
      <c r="J15" s="589">
        <f t="shared" si="4"/>
        <v>-991</v>
      </c>
      <c r="K15" s="548">
        <f>IF(R15&gt;0,RANK(U15,U$7:U$62,1),"")</f>
        <v>9</v>
      </c>
      <c r="L15" s="608" t="s">
        <v>232</v>
      </c>
      <c r="M15" s="591"/>
      <c r="N15" s="592" t="s">
        <v>321</v>
      </c>
      <c r="O15" s="593"/>
      <c r="P15" s="594"/>
      <c r="Q15" s="595" t="s">
        <v>319</v>
      </c>
      <c r="R15" s="596">
        <f>(IF(COUNT(Z15,AA15,AB15,AC15,AD15,AE15,AF15,AG15,AH15,AI15)&lt;9,SUM(Z15,AA15,AB15,AC15,AD15,AE15,AF15,AG15,AH15,AI15),SUM(LARGE((Z15,AA15,AB15,AC15,AD15,AE15,AF15,AG15,AH15,AI15),{1;2;3;4;5;6;7;8;9}))))</f>
        <v>113</v>
      </c>
      <c r="S15" s="597" t="str">
        <f>INDEX(ETAPP!B$1:B$32,MATCH(COUNTIF(Z15:AI15,PVO!A$1),ETAPP!A$1:A$32,0))&amp;INDEX(ETAPP!B$1:B$32,MATCH(COUNTIF(Z15:AI15,PVO!A$2),ETAPP!A$1:A$32,0))&amp;INDEX(ETAPP!B$1:B$32,MATCH(COUNTIF(Z15:AI15,PVO!A$3),ETAPP!A$1:A$32,0))&amp;INDEX(ETAPP!B$1:B$32,MATCH(COUNTIF(Z15:AI15,PVO!A$4),ETAPP!A$1:A$32,0))&amp;INDEX(ETAPP!B$1:B$32,MATCH(COUNTIF(Z15:AI15,PVO!A$5),ETAPP!A$1:A$32,0))&amp;INDEX(ETAPP!B$1:B$32,MATCH(COUNTIF(Z15:AI15,PVO!A$6),ETAPP!A$1:A$32,0))&amp;INDEX(ETAPP!B$1:B$32,MATCH(COUNTIF(Z15:AI15,PVO!A$7),ETAPP!A$1:A$32,0))&amp;INDEX(ETAPP!B$1:B$32,MATCH(COUNTIF(Z15:AI15,PVO!A$8),ETAPP!A$1:A$32,0))&amp;INDEX(ETAPP!B$1:B$32,MATCH(COUNTIF(Z15:AI15,PVO!A$9),ETAPP!A$1:A$32,0))&amp;INDEX(ETAPP!B$1:B$32,MATCH(COUNTIF(Z15:AI15,PVO!A$10),ETAPP!A$1:A$32,0))&amp;INDEX(ETAPP!B$1:B$32,MATCH(COUNTIF(Z15:AI15,PVO!A$11),ETAPP!A$1:A$32,0))&amp;INDEX(ETAPP!B$1:B$32,MATCH(COUNTIF(Z15:AI15,PVO!A$12),ETAPP!A$1:A$32,0))&amp;INDEX(ETAPP!B$1:B$32,MATCH(COUNTIF(Z15:AI15,PVO!A$13),ETAPP!A$1:A$32,0))&amp;INDEX(ETAPP!B$1:B$32,MATCH(COUNTIF(Z15:AI15,PVO!A$14),ETAPP!A$1:A$32,0))&amp;INDEX(ETAPP!B$1:B$32,MATCH(COUNTIF(Z15:AI15,PVO!A$15),ETAPP!A$1:A$32,0))&amp;INDEX(ETAPP!B$1:B$32,MATCH(COUNTIF(Z15:AI15,PVO!A$16),ETAPP!A$1:A$32,0))&amp;INDEX(ETAPP!B$1:B$32,MATCH(COUNTIF(Z15:AI15,PVO!A$17),ETAPP!A$1:A$32,0))&amp;INDEX(ETAPP!B$1:B$32,MATCH(COUNTIF(Z15:AI15,PVO!A$18),ETAPP!A$1:A$32,0))&amp;INDEX(ETAPP!B$1:B$32,MATCH(COUNTIF(Z15:AI15,PVO!A$19),ETAPP!A$1:A$32,0))</f>
        <v>A0A0AA00BA0A0000000</v>
      </c>
      <c r="T15" s="597" t="str">
        <f t="shared" si="5"/>
        <v>113,0-A0A0AA00BA0A0000000</v>
      </c>
      <c r="U15" s="597">
        <f>COUNTIF(T$7:T$62,"&gt;="&amp;T15)</f>
        <v>9</v>
      </c>
      <c r="V15" s="597">
        <f>COUNTIF(L$7:L$62,"&gt;="&amp;L15)</f>
        <v>54</v>
      </c>
      <c r="W15" s="597" t="str">
        <f t="shared" si="6"/>
        <v>113,0-A0A0AA00BA0A0000000-054</v>
      </c>
      <c r="X15" s="597">
        <f>COUNTIF(W$7:W$62,"&gt;="&amp;W15)</f>
        <v>9</v>
      </c>
      <c r="Y15" s="598">
        <f>RANK(X15,X$7:X$62,0)</f>
        <v>48</v>
      </c>
      <c r="Z15" s="599">
        <f>IFERROR(INDEX('V1'!C$300:C$400,MATCH("*"&amp;L15&amp;"*",'V1'!B$300:B$400,0)),"  ")</f>
        <v>20</v>
      </c>
      <c r="AA15" s="599">
        <f>IFERROR(INDEX('V2'!C$300:C$400,MATCH("*"&amp;L15&amp;"*",'V2'!B$300:B$400,0)),"  ")</f>
        <v>16</v>
      </c>
      <c r="AB15" s="599">
        <f>IFERROR(INDEX('V3'!C$300:C$400,MATCH("*"&amp;L15&amp;"*",'V3'!B$300:B$400,0)),"  ")</f>
        <v>11</v>
      </c>
      <c r="AC15" s="599" t="str">
        <f>IFERROR(INDEX('V4'!C$300:C$400,MATCH("*"&amp;L15&amp;"*",'V4'!B$300:B$400,0)),"  ")</f>
        <v xml:space="preserve">  </v>
      </c>
      <c r="AD15" s="599">
        <f>IFERROR(INDEX('V5'!C$300:C$400,MATCH("*"&amp;L15&amp;"*",'V5'!B$300:B$400,0)),"  ")</f>
        <v>9</v>
      </c>
      <c r="AE15" s="599">
        <f>IFERROR(INDEX('V6'!C$300:C$400,MATCH("*"&amp;L15&amp;"*",'V6'!B$300:B$400,0)),"  ")</f>
        <v>12</v>
      </c>
      <c r="AF15" s="599">
        <f>IFERROR(INDEX('V7'!C$300:C$400,MATCH("*"&amp;L15&amp;"*",'V7'!B$300:B$400,0)),"  ")</f>
        <v>15</v>
      </c>
      <c r="AG15" s="599">
        <f>IFERROR(INDEX('V8'!C$300:C$400,MATCH("*"&amp;L15&amp;"*",'V8'!B$300:B$400,0)),"  ")</f>
        <v>18</v>
      </c>
      <c r="AH15" s="599">
        <f>IFERROR(INDEX('V9'!C$300:C$400,MATCH("*"&amp;L15&amp;"*",'V9'!B$300:B$400,0)),"  ")</f>
        <v>12</v>
      </c>
      <c r="AI15" s="599" t="str">
        <f>IFERROR(INDEX('V10'!C$300:C$400,MATCH("*"&amp;L15&amp;"*",'V10'!B$300:B$400,0)),"  ")</f>
        <v xml:space="preserve">  </v>
      </c>
      <c r="AJ15" s="600">
        <f t="shared" si="7"/>
        <v>1</v>
      </c>
      <c r="AK15" s="600">
        <f t="shared" si="8"/>
        <v>48</v>
      </c>
      <c r="AL15" s="601" t="str">
        <f>IFERROR("edasi "&amp;RANK(AK15,AK$7:AK$62,0),K15)</f>
        <v>edasi 9</v>
      </c>
      <c r="AM15" s="602">
        <f>IFERROR(INDEX('V-fin'!A$300:A$400,MATCH("*"&amp;L15&amp;"*",'V-fin'!B$300:B$400,0)),"  ")</f>
        <v>2</v>
      </c>
      <c r="AN15" s="603">
        <f t="shared" si="9"/>
        <v>8</v>
      </c>
      <c r="AO15" s="604">
        <f>IFERROR(IF(Z15+1&gt;LARGE(Z$7:Z$62,1)-2,1),0)+IFERROR(IF(AA15+1&gt;LARGE(AA$7:AA$62,1)-2,1),0)+IFERROR(IF(AB15+1&gt;LARGE(AB$7:AB$62,1)-2,1),0)+IFERROR(IF(AC15+1&gt;LARGE(AC$7:AC$62,1)-2,1),0)+IFERROR(IF(AD15+1&gt;LARGE(AD$7:AD$62,1)-2,1),0)+IFERROR(IF(AE15+1&gt;LARGE(AE$7:AE$62,1)-2,1),0)+IFERROR(IF(AF15+1&gt;LARGE(AF$7:AF$62,1)-2,1),0)+IFERROR(IF(AG15+1&gt;LARGE(AG$7:AG$62,1)-2,1),0)+IFERROR(IF(AH15+1&gt;LARGE(AH$7:AH$62,1)-2,1),0)+IFERROR(IF(AI15+1&gt;LARGE(AI$7:AI$62,1)-2,1),0)</f>
        <v>2</v>
      </c>
      <c r="AP15" s="604">
        <f>IF(Z15=0,0,IF(Z15=IFERROR(LARGE(Z$7:Z$62,1),0),1,0))+IF(AA15=0,0,IF(AA15=IFERROR(LARGE(AA$7:AA$62,1),0),1,0))+IF(AB15=0,0,IF(AB15=IFERROR(LARGE(AB$7:AB$62,1),0),1,0))+IF(AC15=0,0,IF(AC15=IFERROR(LARGE(AC$7:AC$62,1),0),1,0))+IF(AD15=0,0,IF(AD15=IFERROR(LARGE(AD$7:AD$62,1),0),1,0))+IF(AE15=0,0,IF(AE15=IFERROR(LARGE(AE$7:AE$62,1),0),1,0))+IF(AF15=0,0,IF(AF15=IFERROR(LARGE(AF$7:AF$62,1),0),1,0))+IF(AG15=0,0,IF(AG15=IFERROR(LARGE(AG$7:AG$62,1),0),1,0))+IF(AH15=0,0,IF(AH15=IFERROR(LARGE(AH$7:AH$62,1),0),1,0))+IF(AI15=0,0,IF(AI15=IFERROR(LARGE(AI$7:AI$62,1),0),1,0))</f>
        <v>1</v>
      </c>
      <c r="AQ15" s="512"/>
      <c r="AR15" s="605"/>
      <c r="AS15" s="606"/>
      <c r="AT15" s="606"/>
      <c r="AU15" s="606"/>
      <c r="AV15" s="606"/>
      <c r="AW15" s="605">
        <f t="shared" si="10"/>
        <v>4.0000000000000002E-4</v>
      </c>
      <c r="AX15" s="606">
        <f t="shared" si="11"/>
        <v>20.0001</v>
      </c>
      <c r="AY15" s="606">
        <f t="shared" si="11"/>
        <v>16.0002</v>
      </c>
      <c r="AZ15" s="606">
        <f t="shared" si="11"/>
        <v>11.000299999999999</v>
      </c>
      <c r="BA15" s="606">
        <f t="shared" si="11"/>
        <v>4.0000000000000002E-4</v>
      </c>
      <c r="BB15" s="606">
        <f t="shared" si="11"/>
        <v>9.0005000000000006</v>
      </c>
      <c r="BC15" s="606">
        <f t="shared" si="11"/>
        <v>12.0006</v>
      </c>
      <c r="BD15" s="606">
        <f t="shared" si="11"/>
        <v>15.0007</v>
      </c>
      <c r="BE15" s="606">
        <f t="shared" si="11"/>
        <v>18.000800000000002</v>
      </c>
      <c r="BF15" s="606">
        <f t="shared" si="11"/>
        <v>12.0009</v>
      </c>
      <c r="BG15" s="606">
        <f t="shared" si="11"/>
        <v>1E-3</v>
      </c>
    </row>
    <row r="16" spans="1:59" x14ac:dyDescent="0.2">
      <c r="A16" s="583">
        <f>IF(R16&gt;0,IF(Q16="v",RANK(B16,B$7:B$62,1)-COUNTBLANK(Q$7:Q$62),""),"")</f>
        <v>9</v>
      </c>
      <c r="B16" s="584">
        <f t="shared" si="0"/>
        <v>10</v>
      </c>
      <c r="C16" s="585" t="str">
        <f>IF(R16&gt;0,IF(P16="k",RANK(D16,D$7:D$62,1)-COUNTBLANK(P$7:P$62),""),"")</f>
        <v/>
      </c>
      <c r="D16" s="584">
        <f t="shared" si="1"/>
        <v>-990</v>
      </c>
      <c r="E16" s="586">
        <f>IF(R16&gt;0,IF(N16="m",RANK(F16,F$7:F$62,1)-COUNTBLANK(N$7:N$62),""),"")</f>
        <v>9</v>
      </c>
      <c r="F16" s="584">
        <f t="shared" si="2"/>
        <v>10</v>
      </c>
      <c r="G16" s="587" t="str">
        <f>IF(R16&gt;0,IF(M16="n",RANK(H16,H$7:H$62,1)-COUNTBLANK(M$7:M$62),""),"")</f>
        <v/>
      </c>
      <c r="H16" s="584">
        <f t="shared" si="3"/>
        <v>-990</v>
      </c>
      <c r="I16" s="588">
        <f>IF(R16&gt;0,IF(O16="j",RANK(J16,J$7:J$62,1)-COUNTBLANK(O$7:O$62),""),"")</f>
        <v>1</v>
      </c>
      <c r="J16" s="589">
        <f t="shared" si="4"/>
        <v>10</v>
      </c>
      <c r="K16" s="548">
        <f>IF(R16&gt;0,RANK(U16,U$7:U$62,1),"")</f>
        <v>10</v>
      </c>
      <c r="L16" s="607" t="s">
        <v>251</v>
      </c>
      <c r="M16" s="591"/>
      <c r="N16" s="592" t="s">
        <v>321</v>
      </c>
      <c r="O16" s="610" t="s">
        <v>240</v>
      </c>
      <c r="P16" s="594"/>
      <c r="Q16" s="595" t="s">
        <v>319</v>
      </c>
      <c r="R16" s="596">
        <f>(IF(COUNT(Z16,AA16,AB16,AC16,AD16,AE16,AF16,AG16,AH16,AI16)&lt;9,SUM(Z16,AA16,AB16,AC16,AD16,AE16,AF16,AG16,AH16,AI16),SUM(LARGE((Z16,AA16,AB16,AC16,AD16,AE16,AF16,AG16,AH16,AI16),{1;2;3;4;5;6;7;8;9}))))</f>
        <v>113</v>
      </c>
      <c r="S16" s="597" t="str">
        <f>INDEX(ETAPP!B$1:B$32,MATCH(COUNTIF(Z16:AI16,PVO!A$1),ETAPP!A$1:A$32,0))&amp;INDEX(ETAPP!B$1:B$32,MATCH(COUNTIF(Z16:AI16,PVO!A$2),ETAPP!A$1:A$32,0))&amp;INDEX(ETAPP!B$1:B$32,MATCH(COUNTIF(Z16:AI16,PVO!A$3),ETAPP!A$1:A$32,0))&amp;INDEX(ETAPP!B$1:B$32,MATCH(COUNTIF(Z16:AI16,PVO!A$4),ETAPP!A$1:A$32,0))&amp;INDEX(ETAPP!B$1:B$32,MATCH(COUNTIF(Z16:AI16,PVO!A$5),ETAPP!A$1:A$32,0))&amp;INDEX(ETAPP!B$1:B$32,MATCH(COUNTIF(Z16:AI16,PVO!A$6),ETAPP!A$1:A$32,0))&amp;INDEX(ETAPP!B$1:B$32,MATCH(COUNTIF(Z16:AI16,PVO!A$7),ETAPP!A$1:A$32,0))&amp;INDEX(ETAPP!B$1:B$32,MATCH(COUNTIF(Z16:AI16,PVO!A$8),ETAPP!A$1:A$32,0))&amp;INDEX(ETAPP!B$1:B$32,MATCH(COUNTIF(Z16:AI16,PVO!A$9),ETAPP!A$1:A$32,0))&amp;INDEX(ETAPP!B$1:B$32,MATCH(COUNTIF(Z16:AI16,PVO!A$10),ETAPP!A$1:A$32,0))&amp;INDEX(ETAPP!B$1:B$32,MATCH(COUNTIF(Z16:AI16,PVO!A$11),ETAPP!A$1:A$32,0))&amp;INDEX(ETAPP!B$1:B$32,MATCH(COUNTIF(Z16:AI16,PVO!A$12),ETAPP!A$1:A$32,0))&amp;INDEX(ETAPP!B$1:B$32,MATCH(COUNTIF(Z16:AI16,PVO!A$13),ETAPP!A$1:A$32,0))&amp;INDEX(ETAPP!B$1:B$32,MATCH(COUNTIF(Z16:AI16,PVO!A$14),ETAPP!A$1:A$32,0))&amp;INDEX(ETAPP!B$1:B$32,MATCH(COUNTIF(Z16:AI16,PVO!A$15),ETAPP!A$1:A$32,0))&amp;INDEX(ETAPP!B$1:B$32,MATCH(COUNTIF(Z16:AI16,PVO!A$16),ETAPP!A$1:A$32,0))&amp;INDEX(ETAPP!B$1:B$32,MATCH(COUNTIF(Z16:AI16,PVO!A$17),ETAPP!A$1:A$32,0))&amp;INDEX(ETAPP!B$1:B$32,MATCH(COUNTIF(Z16:AI16,PVO!A$18),ETAPP!A$1:A$32,0))&amp;INDEX(ETAPP!B$1:B$32,MATCH(COUNTIF(Z16:AI16,PVO!A$19),ETAPP!A$1:A$32,0))</f>
        <v>000BAAA0AB000000000</v>
      </c>
      <c r="T16" s="597" t="str">
        <f t="shared" si="5"/>
        <v>113,0-000BAAA0AB000000000</v>
      </c>
      <c r="U16" s="597">
        <f>COUNTIF(T$7:T$62,"&gt;="&amp;T16)</f>
        <v>10</v>
      </c>
      <c r="V16" s="597">
        <f>COUNTIF(L$7:L$62,"&gt;="&amp;L16)</f>
        <v>33</v>
      </c>
      <c r="W16" s="597" t="str">
        <f t="shared" si="6"/>
        <v>113,0-000BAAA0AB000000000-033</v>
      </c>
      <c r="X16" s="597">
        <f>COUNTIF(W$7:W$62,"&gt;="&amp;W16)</f>
        <v>10</v>
      </c>
      <c r="Y16" s="598">
        <f>RANK(X16,X$7:X$62,0)</f>
        <v>47</v>
      </c>
      <c r="Z16" s="599" t="str">
        <f>IFERROR(INDEX('V1'!C$300:C$400,MATCH("*"&amp;L16&amp;"*",'V1'!B$300:B$400,0)),"  ")</f>
        <v xml:space="preserve">  </v>
      </c>
      <c r="AA16" s="599" t="str">
        <f>IFERROR(INDEX('V2'!C$300:C$400,MATCH("*"&amp;L16&amp;"*",'V2'!B$300:B$400,0)),"  ")</f>
        <v xml:space="preserve">  </v>
      </c>
      <c r="AB16" s="599">
        <f>IFERROR(INDEX('V3'!C$300:C$400,MATCH("*"&amp;L16&amp;"*",'V3'!B$300:B$400,0)),"  ")</f>
        <v>14</v>
      </c>
      <c r="AC16" s="599">
        <f>IFERROR(INDEX('V4'!C$300:C$400,MATCH("*"&amp;L16&amp;"*",'V4'!B$300:B$400,0)),"  ")</f>
        <v>15</v>
      </c>
      <c r="AD16" s="599">
        <f>IFERROR(INDEX('V5'!C$300:C$400,MATCH("*"&amp;L16&amp;"*",'V5'!B$300:B$400,0)),"  ")</f>
        <v>17</v>
      </c>
      <c r="AE16" s="599">
        <f>IFERROR(INDEX('V6'!C$300:C$400,MATCH("*"&amp;L16&amp;"*",'V6'!B$300:B$400,0)),"  ")</f>
        <v>11</v>
      </c>
      <c r="AF16" s="599">
        <f>IFERROR(INDEX('V7'!C$300:C$400,MATCH("*"&amp;L16&amp;"*",'V7'!B$300:B$400,0)),"  ")</f>
        <v>17</v>
      </c>
      <c r="AG16" s="599">
        <f>IFERROR(INDEX('V8'!C$300:C$400,MATCH("*"&amp;L16&amp;"*",'V8'!B$300:B$400,0)),"  ")</f>
        <v>11</v>
      </c>
      <c r="AH16" s="599">
        <f>IFERROR(INDEX('V9'!C$300:C$400,MATCH("*"&amp;L16&amp;"*",'V9'!B$300:B$400,0)),"  ")</f>
        <v>16</v>
      </c>
      <c r="AI16" s="599">
        <f>IFERROR(INDEX('V10'!C$300:C$400,MATCH("*"&amp;L16&amp;"*",'V10'!B$300:B$400,0)),"  ")</f>
        <v>12</v>
      </c>
      <c r="AJ16" s="600">
        <f t="shared" si="7"/>
        <v>1</v>
      </c>
      <c r="AK16" s="600">
        <f t="shared" si="8"/>
        <v>47</v>
      </c>
      <c r="AL16" s="601" t="str">
        <f>IFERROR("edasi "&amp;RANK(AK16,AK$7:AK$62,0),K16)</f>
        <v>edasi 10</v>
      </c>
      <c r="AM16" s="602">
        <f>IFERROR(INDEX('V-fin'!A$300:A$400,MATCH("*"&amp;L16&amp;"*",'V-fin'!B$300:B$400,0)),"  ")</f>
        <v>23</v>
      </c>
      <c r="AN16" s="603">
        <f t="shared" si="9"/>
        <v>8</v>
      </c>
      <c r="AO16" s="604">
        <f>IFERROR(IF(Z16+1&gt;LARGE(Z$7:Z$62,1)-2,1),0)+IFERROR(IF(AA16+1&gt;LARGE(AA$7:AA$62,1)-2,1),0)+IFERROR(IF(AB16+1&gt;LARGE(AB$7:AB$62,1)-2,1),0)+IFERROR(IF(AC16+1&gt;LARGE(AC$7:AC$62,1)-2,1),0)+IFERROR(IF(AD16+1&gt;LARGE(AD$7:AD$62,1)-2,1),0)+IFERROR(IF(AE16+1&gt;LARGE(AE$7:AE$62,1)-2,1),0)+IFERROR(IF(AF16+1&gt;LARGE(AF$7:AF$62,1)-2,1),0)+IFERROR(IF(AG16+1&gt;LARGE(AG$7:AG$62,1)-2,1),0)+IFERROR(IF(AH16+1&gt;LARGE(AH$7:AH$62,1)-2,1),0)+IFERROR(IF(AI16+1&gt;LARGE(AI$7:AI$62,1)-2,1),0)</f>
        <v>0</v>
      </c>
      <c r="AP16" s="604">
        <f>IF(Z16=0,0,IF(Z16=IFERROR(LARGE(Z$7:Z$62,1),0),1,0))+IF(AA16=0,0,IF(AA16=IFERROR(LARGE(AA$7:AA$62,1),0),1,0))+IF(AB16=0,0,IF(AB16=IFERROR(LARGE(AB$7:AB$62,1),0),1,0))+IF(AC16=0,0,IF(AC16=IFERROR(LARGE(AC$7:AC$62,1),0),1,0))+IF(AD16=0,0,IF(AD16=IFERROR(LARGE(AD$7:AD$62,1),0),1,0))+IF(AE16=0,0,IF(AE16=IFERROR(LARGE(AE$7:AE$62,1),0),1,0))+IF(AF16=0,0,IF(AF16=IFERROR(LARGE(AF$7:AF$62,1),0),1,0))+IF(AG16=0,0,IF(AG16=IFERROR(LARGE(AG$7:AG$62,1),0),1,0))+IF(AH16=0,0,IF(AH16=IFERROR(LARGE(AH$7:AH$62,1),0),1,0))+IF(AI16=0,0,IF(AI16=IFERROR(LARGE(AI$7:AI$62,1),0),1,0))</f>
        <v>0</v>
      </c>
      <c r="AQ16" s="512"/>
      <c r="AR16" s="605"/>
      <c r="AS16" s="606"/>
      <c r="AT16" s="606"/>
      <c r="AU16" s="606"/>
      <c r="AV16" s="606"/>
      <c r="AW16" s="605">
        <f t="shared" si="10"/>
        <v>1E-4</v>
      </c>
      <c r="AX16" s="606">
        <f t="shared" si="11"/>
        <v>1E-4</v>
      </c>
      <c r="AY16" s="606">
        <f t="shared" si="11"/>
        <v>2.0000000000000001E-4</v>
      </c>
      <c r="AZ16" s="606">
        <f t="shared" si="11"/>
        <v>14.000299999999999</v>
      </c>
      <c r="BA16" s="606">
        <f t="shared" si="11"/>
        <v>15.000400000000001</v>
      </c>
      <c r="BB16" s="606">
        <f t="shared" si="11"/>
        <v>17.000499999999999</v>
      </c>
      <c r="BC16" s="606">
        <f t="shared" si="11"/>
        <v>11.0006</v>
      </c>
      <c r="BD16" s="606">
        <f t="shared" si="11"/>
        <v>17.000699999999998</v>
      </c>
      <c r="BE16" s="606">
        <f t="shared" si="11"/>
        <v>11.0008</v>
      </c>
      <c r="BF16" s="606">
        <f t="shared" si="11"/>
        <v>16.000900000000001</v>
      </c>
      <c r="BG16" s="606">
        <f t="shared" si="11"/>
        <v>12.000999999999999</v>
      </c>
    </row>
    <row r="17" spans="1:59" x14ac:dyDescent="0.2">
      <c r="A17" s="583" t="str">
        <f>IF(R17&gt;0,IF(Q17="v",RANK(B17,B$7:B$62,1)-COUNTBLANK(Q$7:Q$62),""),"")</f>
        <v/>
      </c>
      <c r="B17" s="584">
        <f t="shared" si="0"/>
        <v>-989</v>
      </c>
      <c r="C17" s="585" t="str">
        <f>IF(R17&gt;0,IF(P17="k",RANK(D17,D$7:D$62,1)-COUNTBLANK(P$7:P$62),""),"")</f>
        <v/>
      </c>
      <c r="D17" s="584">
        <f t="shared" si="1"/>
        <v>-989</v>
      </c>
      <c r="E17" s="586">
        <f>IF(R17&gt;0,IF(N17="m",RANK(F17,F$7:F$62,1)-COUNTBLANK(N$7:N$62),""),"")</f>
        <v>10</v>
      </c>
      <c r="F17" s="584">
        <f t="shared" si="2"/>
        <v>11</v>
      </c>
      <c r="G17" s="587" t="str">
        <f>IF(R17&gt;0,IF(M17="n",RANK(H17,H$7:H$62,1)-COUNTBLANK(M$7:M$62),""),"")</f>
        <v/>
      </c>
      <c r="H17" s="584">
        <f t="shared" si="3"/>
        <v>-989</v>
      </c>
      <c r="I17" s="588" t="str">
        <f>IF(R17&gt;0,IF(O17="j",RANK(J17,J$7:J$62,1)-COUNTBLANK(O$7:O$62),""),"")</f>
        <v/>
      </c>
      <c r="J17" s="589">
        <f t="shared" si="4"/>
        <v>-989</v>
      </c>
      <c r="K17" s="611">
        <f>IF(R17&gt;0,RANK(U17,U$7:U$62,1),"")</f>
        <v>11</v>
      </c>
      <c r="L17" s="612" t="s">
        <v>252</v>
      </c>
      <c r="M17" s="613"/>
      <c r="N17" s="614" t="str">
        <f t="shared" ref="N17:N26" si="13">IF(M17="","m","")</f>
        <v>m</v>
      </c>
      <c r="O17" s="615"/>
      <c r="P17" s="616"/>
      <c r="Q17" s="617"/>
      <c r="R17" s="596">
        <f>(IF(COUNT(Z17,AA17,AB17,AC17,AD17,AE17,AF17,AG17,AH17,AI17)&lt;9,SUM(Z17,AA17,AB17,AC17,AD17,AE17,AF17,AG17,AH17,AI17),SUM(LARGE((Z17,AA17,AB17,AC17,AD17,AE17,AF17,AG17,AH17,AI17),{1;2;3;4;5;6;7;8;9}))))</f>
        <v>110</v>
      </c>
      <c r="S17" s="618" t="str">
        <f>INDEX(ETAPP!B$1:B$32,MATCH(COUNTIF(Z17:AI17,PVO!A$1),ETAPP!A$1:A$32,0))&amp;INDEX(ETAPP!B$1:B$32,MATCH(COUNTIF(Z17:AI17,PVO!A$2),ETAPP!A$1:A$32,0))&amp;INDEX(ETAPP!B$1:B$32,MATCH(COUNTIF(Z17:AI17,PVO!A$3),ETAPP!A$1:A$32,0))&amp;INDEX(ETAPP!B$1:B$32,MATCH(COUNTIF(Z17:AI17,PVO!A$4),ETAPP!A$1:A$32,0))&amp;INDEX(ETAPP!B$1:B$32,MATCH(COUNTIF(Z17:AI17,PVO!A$5),ETAPP!A$1:A$32,0))&amp;INDEX(ETAPP!B$1:B$32,MATCH(COUNTIF(Z17:AI17,PVO!A$6),ETAPP!A$1:A$32,0))&amp;INDEX(ETAPP!B$1:B$32,MATCH(COUNTIF(Z17:AI17,PVO!A$7),ETAPP!A$1:A$32,0))&amp;INDEX(ETAPP!B$1:B$32,MATCH(COUNTIF(Z17:AI17,PVO!A$8),ETAPP!A$1:A$32,0))&amp;INDEX(ETAPP!B$1:B$32,MATCH(COUNTIF(Z17:AI17,PVO!A$9),ETAPP!A$1:A$32,0))&amp;INDEX(ETAPP!B$1:B$32,MATCH(COUNTIF(Z17:AI17,PVO!A$10),ETAPP!A$1:A$32,0))&amp;INDEX(ETAPP!B$1:B$32,MATCH(COUNTIF(Z17:AI17,PVO!A$11),ETAPP!A$1:A$32,0))&amp;INDEX(ETAPP!B$1:B$32,MATCH(COUNTIF(Z17:AI17,PVO!A$12),ETAPP!A$1:A$32,0))&amp;INDEX(ETAPP!B$1:B$32,MATCH(COUNTIF(Z17:AI17,PVO!A$13),ETAPP!A$1:A$32,0))&amp;INDEX(ETAPP!B$1:B$32,MATCH(COUNTIF(Z17:AI17,PVO!A$14),ETAPP!A$1:A$32,0))&amp;INDEX(ETAPP!B$1:B$32,MATCH(COUNTIF(Z17:AI17,PVO!A$15),ETAPP!A$1:A$32,0))&amp;INDEX(ETAPP!B$1:B$32,MATCH(COUNTIF(Z17:AI17,PVO!A$16),ETAPP!A$1:A$32,0))&amp;INDEX(ETAPP!B$1:B$32,MATCH(COUNTIF(Z17:AI17,PVO!A$17),ETAPP!A$1:A$32,0))&amp;INDEX(ETAPP!B$1:B$32,MATCH(COUNTIF(Z17:AI17,PVO!A$18),ETAPP!A$1:A$32,0))&amp;INDEX(ETAPP!B$1:B$32,MATCH(COUNTIF(Z17:AI17,PVO!A$19),ETAPP!A$1:A$32,0))</f>
        <v>00A0AB0B0A0A0000000</v>
      </c>
      <c r="T17" s="618" t="str">
        <f t="shared" si="5"/>
        <v>110,0-00A0AB0B0A0A0000000</v>
      </c>
      <c r="U17" s="618">
        <f>COUNTIF(T$7:T$62,"&gt;="&amp;T17)</f>
        <v>11</v>
      </c>
      <c r="V17" s="618">
        <f>COUNTIF(L$7:L$62,"&gt;="&amp;L17)</f>
        <v>28</v>
      </c>
      <c r="W17" s="618" t="str">
        <f t="shared" si="6"/>
        <v>110,0-00A0AB0B0A0A0000000-028</v>
      </c>
      <c r="X17" s="618">
        <f>COUNTIF(W$7:W$62,"&gt;="&amp;W17)</f>
        <v>11</v>
      </c>
      <c r="Y17" s="619">
        <f>RANK(X17,X$7:X$62,0)</f>
        <v>46</v>
      </c>
      <c r="Z17" s="599" t="str">
        <f>IFERROR(INDEX('V1'!C$300:C$400,MATCH("*"&amp;L17&amp;"*",'V1'!B$300:B$400,0)),"  ")</f>
        <v xml:space="preserve">  </v>
      </c>
      <c r="AA17" s="599" t="str">
        <f>IFERROR(INDEX('V2'!C$300:C$400,MATCH("*"&amp;L17&amp;"*",'V2'!B$300:B$400,0)),"  ")</f>
        <v xml:space="preserve">  </v>
      </c>
      <c r="AB17" s="599">
        <f>IFERROR(INDEX('V3'!C$300:C$400,MATCH("*"&amp;L17&amp;"*",'V3'!B$300:B$400,0)),"  ")</f>
        <v>16</v>
      </c>
      <c r="AC17" s="599">
        <f>IFERROR(INDEX('V4'!C$300:C$400,MATCH("*"&amp;L17&amp;"*",'V4'!B$300:B$400,0)),"  ")</f>
        <v>18</v>
      </c>
      <c r="AD17" s="599">
        <f>IFERROR(INDEX('V5'!C$300:C$400,MATCH("*"&amp;L17&amp;"*",'V5'!B$300:B$400,0)),"  ")</f>
        <v>13</v>
      </c>
      <c r="AE17" s="599">
        <f>IFERROR(INDEX('V6'!C$300:C$400,MATCH("*"&amp;L17&amp;"*",'V6'!B$300:B$400,0)),"  ")</f>
        <v>15</v>
      </c>
      <c r="AF17" s="599">
        <f>IFERROR(INDEX('V7'!C$300:C$400,MATCH("*"&amp;L17&amp;"*",'V7'!B$300:B$400,0)),"  ")</f>
        <v>9</v>
      </c>
      <c r="AG17" s="599">
        <f>IFERROR(INDEX('V8'!C$300:C$400,MATCH("*"&amp;L17&amp;"*",'V8'!B$300:B$400,0)),"  ")</f>
        <v>15</v>
      </c>
      <c r="AH17" s="599">
        <f>IFERROR(INDEX('V9'!C$300:C$400,MATCH("*"&amp;L17&amp;"*",'V9'!B$300:B$400,0)),"  ")</f>
        <v>13</v>
      </c>
      <c r="AI17" s="599">
        <f>IFERROR(INDEX('V10'!C$300:C$400,MATCH("*"&amp;L17&amp;"*",'V10'!B$300:B$400,0)),"  ")</f>
        <v>11</v>
      </c>
      <c r="AJ17" s="600">
        <f t="shared" si="7"/>
        <v>1</v>
      </c>
      <c r="AK17" s="600">
        <f t="shared" si="8"/>
        <v>46</v>
      </c>
      <c r="AL17" s="601" t="str">
        <f>IFERROR("edasi "&amp;RANK(AK17,AK$7:AK$62,0),K17)</f>
        <v>edasi 11</v>
      </c>
      <c r="AM17" s="602">
        <f>IFERROR(INDEX('V-fin'!A$300:A$400,MATCH("*"&amp;L17&amp;"*",'V-fin'!B$300:B$400,0)),"  ")</f>
        <v>25</v>
      </c>
      <c r="AN17" s="603">
        <f t="shared" si="9"/>
        <v>8</v>
      </c>
      <c r="AO17" s="604">
        <f>IFERROR(IF(Z17+1&gt;LARGE(Z$7:Z$62,1)-2,1),0)+IFERROR(IF(AA17+1&gt;LARGE(AA$7:AA$62,1)-2,1),0)+IFERROR(IF(AB17+1&gt;LARGE(AB$7:AB$62,1)-2,1),0)+IFERROR(IF(AC17+1&gt;LARGE(AC$7:AC$62,1)-2,1),0)+IFERROR(IF(AD17+1&gt;LARGE(AD$7:AD$62,1)-2,1),0)+IFERROR(IF(AE17+1&gt;LARGE(AE$7:AE$62,1)-2,1),0)+IFERROR(IF(AF17+1&gt;LARGE(AF$7:AF$62,1)-2,1),0)+IFERROR(IF(AG17+1&gt;LARGE(AG$7:AG$62,1)-2,1),0)+IFERROR(IF(AH17+1&gt;LARGE(AH$7:AH$62,1)-2,1),0)+IFERROR(IF(AI17+1&gt;LARGE(AI$7:AI$62,1)-2,1),0)</f>
        <v>1</v>
      </c>
      <c r="AP17" s="604">
        <f>IF(Z17=0,0,IF(Z17=IFERROR(LARGE(Z$7:Z$62,1),0),1,0))+IF(AA17=0,0,IF(AA17=IFERROR(LARGE(AA$7:AA$62,1),0),1,0))+IF(AB17=0,0,IF(AB17=IFERROR(LARGE(AB$7:AB$62,1),0),1,0))+IF(AC17=0,0,IF(AC17=IFERROR(LARGE(AC$7:AC$62,1),0),1,0))+IF(AD17=0,0,IF(AD17=IFERROR(LARGE(AD$7:AD$62,1),0),1,0))+IF(AE17=0,0,IF(AE17=IFERROR(LARGE(AE$7:AE$62,1),0),1,0))+IF(AF17=0,0,IF(AF17=IFERROR(LARGE(AF$7:AF$62,1),0),1,0))+IF(AG17=0,0,IF(AG17=IFERROR(LARGE(AG$7:AG$62,1),0),1,0))+IF(AH17=0,0,IF(AH17=IFERROR(LARGE(AH$7:AH$62,1),0),1,0))+IF(AI17=0,0,IF(AI17=IFERROR(LARGE(AI$7:AI$62,1),0),1,0))</f>
        <v>0</v>
      </c>
      <c r="AQ17" s="512"/>
      <c r="AR17" s="605"/>
      <c r="AS17" s="606"/>
      <c r="AT17" s="606"/>
      <c r="AU17" s="606"/>
      <c r="AV17" s="606"/>
      <c r="AW17" s="605">
        <f t="shared" si="10"/>
        <v>1E-4</v>
      </c>
      <c r="AX17" s="606">
        <f t="shared" si="11"/>
        <v>1E-4</v>
      </c>
      <c r="AY17" s="606">
        <f t="shared" si="11"/>
        <v>2.0000000000000001E-4</v>
      </c>
      <c r="AZ17" s="606">
        <f t="shared" si="11"/>
        <v>16.000299999999999</v>
      </c>
      <c r="BA17" s="606">
        <f t="shared" si="11"/>
        <v>18.000399999999999</v>
      </c>
      <c r="BB17" s="606">
        <f t="shared" si="11"/>
        <v>13.000500000000001</v>
      </c>
      <c r="BC17" s="606">
        <f t="shared" si="11"/>
        <v>15.0006</v>
      </c>
      <c r="BD17" s="606">
        <f t="shared" si="11"/>
        <v>9.0007000000000001</v>
      </c>
      <c r="BE17" s="606">
        <f t="shared" si="11"/>
        <v>15.0008</v>
      </c>
      <c r="BF17" s="606">
        <f t="shared" si="11"/>
        <v>13.0009</v>
      </c>
      <c r="BG17" s="606">
        <f t="shared" si="11"/>
        <v>11.000999999999999</v>
      </c>
    </row>
    <row r="18" spans="1:59" x14ac:dyDescent="0.2">
      <c r="A18" s="583">
        <f>IF(R18&gt;0,IF(Q18="v",RANK(B18,B$7:B$62,1)-COUNTBLANK(Q$7:Q$62),""),"")</f>
        <v>10</v>
      </c>
      <c r="B18" s="584">
        <f t="shared" si="0"/>
        <v>12</v>
      </c>
      <c r="C18" s="585">
        <f>IF(R18&gt;0,IF(P18="k",RANK(D18,D$7:D$62,1)-COUNTBLANK(P$7:P$62),""),"")</f>
        <v>3</v>
      </c>
      <c r="D18" s="584">
        <f t="shared" si="1"/>
        <v>12</v>
      </c>
      <c r="E18" s="586">
        <f>IF(R18&gt;0,IF(N18="m",RANK(F18,F$7:F$62,1)-COUNTBLANK(N$7:N$62),""),"")</f>
        <v>11</v>
      </c>
      <c r="F18" s="584">
        <f t="shared" si="2"/>
        <v>12</v>
      </c>
      <c r="G18" s="587" t="str">
        <f>IF(R18&gt;0,IF(M18="n",RANK(H18,H$7:H$62,1)-COUNTBLANK(M$7:M$62),""),"")</f>
        <v/>
      </c>
      <c r="H18" s="584">
        <f t="shared" si="3"/>
        <v>-988</v>
      </c>
      <c r="I18" s="588">
        <f>IF(R18&gt;0,IF(O18="j",RANK(J18,J$7:J$62,1)-COUNTBLANK(O$7:O$62),""),"")</f>
        <v>2</v>
      </c>
      <c r="J18" s="589">
        <f t="shared" si="4"/>
        <v>12</v>
      </c>
      <c r="K18" s="548">
        <f>IF(R18&gt;0,RANK(U18,U$7:U$62,1),"")</f>
        <v>12</v>
      </c>
      <c r="L18" s="608" t="s">
        <v>239</v>
      </c>
      <c r="M18" s="591"/>
      <c r="N18" s="592" t="str">
        <f t="shared" si="13"/>
        <v>m</v>
      </c>
      <c r="O18" s="593" t="s">
        <v>240</v>
      </c>
      <c r="P18" s="594" t="s">
        <v>320</v>
      </c>
      <c r="Q18" s="595" t="s">
        <v>319</v>
      </c>
      <c r="R18" s="596">
        <f>(IF(COUNT(Z18,AA18,AB18,AC18,AD18,AE18,AF18,AG18,AH18,AI18)&lt;9,SUM(Z18,AA18,AB18,AC18,AD18,AE18,AF18,AG18,AH18,AI18),SUM(LARGE((Z18,AA18,AB18,AC18,AD18,AE18,AF18,AG18,AH18,AI18),{1;2;3;4;5;6;7;8;9}))))</f>
        <v>106</v>
      </c>
      <c r="S18" s="597" t="str">
        <f>INDEX(ETAPP!B$1:B$32,MATCH(COUNTIF(Z18:AI18,PVO!A$1),ETAPP!A$1:A$32,0))&amp;INDEX(ETAPP!B$1:B$32,MATCH(COUNTIF(Z18:AI18,PVO!A$2),ETAPP!A$1:A$32,0))&amp;INDEX(ETAPP!B$1:B$32,MATCH(COUNTIF(Z18:AI18,PVO!A$3),ETAPP!A$1:A$32,0))&amp;INDEX(ETAPP!B$1:B$32,MATCH(COUNTIF(Z18:AI18,PVO!A$4),ETAPP!A$1:A$32,0))&amp;INDEX(ETAPP!B$1:B$32,MATCH(COUNTIF(Z18:AI18,PVO!A$5),ETAPP!A$1:A$32,0))&amp;INDEX(ETAPP!B$1:B$32,MATCH(COUNTIF(Z18:AI18,PVO!A$6),ETAPP!A$1:A$32,0))&amp;INDEX(ETAPP!B$1:B$32,MATCH(COUNTIF(Z18:AI18,PVO!A$7),ETAPP!A$1:A$32,0))&amp;INDEX(ETAPP!B$1:B$32,MATCH(COUNTIF(Z18:AI18,PVO!A$8),ETAPP!A$1:A$32,0))&amp;INDEX(ETAPP!B$1:B$32,MATCH(COUNTIF(Z18:AI18,PVO!A$9),ETAPP!A$1:A$32,0))&amp;INDEX(ETAPP!B$1:B$32,MATCH(COUNTIF(Z18:AI18,PVO!A$10),ETAPP!A$1:A$32,0))&amp;INDEX(ETAPP!B$1:B$32,MATCH(COUNTIF(Z18:AI18,PVO!A$11),ETAPP!A$1:A$32,0))&amp;INDEX(ETAPP!B$1:B$32,MATCH(COUNTIF(Z18:AI18,PVO!A$12),ETAPP!A$1:A$32,0))&amp;INDEX(ETAPP!B$1:B$32,MATCH(COUNTIF(Z18:AI18,PVO!A$13),ETAPP!A$1:A$32,0))&amp;INDEX(ETAPP!B$1:B$32,MATCH(COUNTIF(Z18:AI18,PVO!A$14),ETAPP!A$1:A$32,0))&amp;INDEX(ETAPP!B$1:B$32,MATCH(COUNTIF(Z18:AI18,PVO!A$15),ETAPP!A$1:A$32,0))&amp;INDEX(ETAPP!B$1:B$32,MATCH(COUNTIF(Z18:AI18,PVO!A$16),ETAPP!A$1:A$32,0))&amp;INDEX(ETAPP!B$1:B$32,MATCH(COUNTIF(Z18:AI18,PVO!A$17),ETAPP!A$1:A$32,0))&amp;INDEX(ETAPP!B$1:B$32,MATCH(COUNTIF(Z18:AI18,PVO!A$18),ETAPP!A$1:A$32,0))&amp;INDEX(ETAPP!B$1:B$32,MATCH(COUNTIF(Z18:AI18,PVO!A$19),ETAPP!A$1:A$32,0))</f>
        <v>00A0AAAAAA000A00000</v>
      </c>
      <c r="T18" s="597" t="str">
        <f t="shared" si="5"/>
        <v>106,0-00A0AAAAAA000A00000</v>
      </c>
      <c r="U18" s="597">
        <f>COUNTIF(T$7:T$62,"&gt;="&amp;T18)</f>
        <v>12</v>
      </c>
      <c r="V18" s="597">
        <f>COUNTIF(L$7:L$62,"&gt;="&amp;L18)</f>
        <v>43</v>
      </c>
      <c r="W18" s="597" t="str">
        <f t="shared" si="6"/>
        <v>106,0-00A0AAAAAA000A00000-043</v>
      </c>
      <c r="X18" s="597">
        <f>COUNTIF(W$7:W$62,"&gt;="&amp;W18)</f>
        <v>12</v>
      </c>
      <c r="Y18" s="598">
        <f>RANK(X18,X$7:X$62,0)</f>
        <v>45</v>
      </c>
      <c r="Z18" s="599">
        <f>IFERROR(INDEX('V1'!C$300:C$400,MATCH("*"&amp;L18&amp;"*",'V1'!B$300:B$400,0)),"  ")</f>
        <v>16</v>
      </c>
      <c r="AA18" s="599" t="str">
        <f>IFERROR(INDEX('V2'!C$300:C$400,MATCH("*"&amp;L18&amp;"*",'V2'!B$300:B$400,0)),"  ")</f>
        <v xml:space="preserve">  </v>
      </c>
      <c r="AB18" s="599">
        <f>IFERROR(INDEX('V3'!C$300:C$400,MATCH("*"&amp;L18&amp;"*",'V3'!B$300:B$400,0)),"  ")</f>
        <v>18</v>
      </c>
      <c r="AC18" s="599">
        <f>IFERROR(INDEX('V4'!C$300:C$400,MATCH("*"&amp;L18&amp;"*",'V4'!B$300:B$400,0)),"  ")</f>
        <v>11</v>
      </c>
      <c r="AD18" s="599">
        <f>IFERROR(INDEX('V5'!C$300:C$400,MATCH("*"&amp;L18&amp;"*",'V5'!B$300:B$400,0)),"  ")</f>
        <v>7</v>
      </c>
      <c r="AE18" s="599" t="str">
        <f>IFERROR(INDEX('V6'!C$300:C$400,MATCH("*"&amp;L18&amp;"*",'V6'!B$300:B$400,0)),"  ")</f>
        <v xml:space="preserve">  </v>
      </c>
      <c r="AF18" s="599">
        <f>IFERROR(INDEX('V7'!C$300:C$400,MATCH("*"&amp;L18&amp;"*",'V7'!B$300:B$400,0)),"  ")</f>
        <v>13</v>
      </c>
      <c r="AG18" s="599">
        <f>IFERROR(INDEX('V8'!C$300:C$400,MATCH("*"&amp;L18&amp;"*",'V8'!B$300:B$400,0)),"  ")</f>
        <v>12</v>
      </c>
      <c r="AH18" s="599">
        <f>IFERROR(INDEX('V9'!C$300:C$400,MATCH("*"&amp;L18&amp;"*",'V9'!B$300:B$400,0)),"  ")</f>
        <v>14</v>
      </c>
      <c r="AI18" s="599">
        <f>IFERROR(INDEX('V10'!C$300:C$400,MATCH("*"&amp;L18&amp;"*",'V10'!B$300:B$400,0)),"  ")</f>
        <v>15</v>
      </c>
      <c r="AJ18" s="600">
        <f t="shared" si="7"/>
        <v>1</v>
      </c>
      <c r="AK18" s="600">
        <f t="shared" si="8"/>
        <v>45</v>
      </c>
      <c r="AL18" s="601" t="str">
        <f>IFERROR("edasi "&amp;RANK(AK18,AK$7:AK$62,0),K18)</f>
        <v>edasi 12</v>
      </c>
      <c r="AM18" s="602">
        <f>IFERROR(INDEX('V-fin'!A$300:A$400,MATCH("*"&amp;L18&amp;"*",'V-fin'!B$300:B$400,0)),"  ")</f>
        <v>4</v>
      </c>
      <c r="AN18" s="603">
        <f t="shared" si="9"/>
        <v>8</v>
      </c>
      <c r="AO18" s="604">
        <f>IFERROR(IF(Z18+1&gt;LARGE(Z$7:Z$62,1)-2,1),0)+IFERROR(IF(AA18+1&gt;LARGE(AA$7:AA$62,1)-2,1),0)+IFERROR(IF(AB18+1&gt;LARGE(AB$7:AB$62,1)-2,1),0)+IFERROR(IF(AC18+1&gt;LARGE(AC$7:AC$62,1)-2,1),0)+IFERROR(IF(AD18+1&gt;LARGE(AD$7:AD$62,1)-2,1),0)+IFERROR(IF(AE18+1&gt;LARGE(AE$7:AE$62,1)-2,1),0)+IFERROR(IF(AF18+1&gt;LARGE(AF$7:AF$62,1)-2,1),0)+IFERROR(IF(AG18+1&gt;LARGE(AG$7:AG$62,1)-2,1),0)+IFERROR(IF(AH18+1&gt;LARGE(AH$7:AH$62,1)-2,1),0)+IFERROR(IF(AI18+1&gt;LARGE(AI$7:AI$62,1)-2,1),0)</f>
        <v>1</v>
      </c>
      <c r="AP18" s="604">
        <f>IF(Z18=0,0,IF(Z18=IFERROR(LARGE(Z$7:Z$62,1),0),1,0))+IF(AA18=0,0,IF(AA18=IFERROR(LARGE(AA$7:AA$62,1),0),1,0))+IF(AB18=0,0,IF(AB18=IFERROR(LARGE(AB$7:AB$62,1),0),1,0))+IF(AC18=0,0,IF(AC18=IFERROR(LARGE(AC$7:AC$62,1),0),1,0))+IF(AD18=0,0,IF(AD18=IFERROR(LARGE(AD$7:AD$62,1),0),1,0))+IF(AE18=0,0,IF(AE18=IFERROR(LARGE(AE$7:AE$62,1),0),1,0))+IF(AF18=0,0,IF(AF18=IFERROR(LARGE(AF$7:AF$62,1),0),1,0))+IF(AG18=0,0,IF(AG18=IFERROR(LARGE(AG$7:AG$62,1),0),1,0))+IF(AH18=0,0,IF(AH18=IFERROR(LARGE(AH$7:AH$62,1),0),1,0))+IF(AI18=0,0,IF(AI18=IFERROR(LARGE(AI$7:AI$62,1),0),1,0))</f>
        <v>0</v>
      </c>
      <c r="AQ18" s="512"/>
      <c r="AR18" s="605"/>
      <c r="AS18" s="606"/>
      <c r="AT18" s="606"/>
      <c r="AU18" s="606"/>
      <c r="AV18" s="606"/>
      <c r="AW18" s="605">
        <f t="shared" si="10"/>
        <v>2.0000000000000001E-4</v>
      </c>
      <c r="AX18" s="606">
        <f t="shared" si="11"/>
        <v>16.0001</v>
      </c>
      <c r="AY18" s="606">
        <f t="shared" si="11"/>
        <v>2.0000000000000001E-4</v>
      </c>
      <c r="AZ18" s="606">
        <f t="shared" si="11"/>
        <v>18.000299999999999</v>
      </c>
      <c r="BA18" s="606">
        <f t="shared" si="11"/>
        <v>11.000400000000001</v>
      </c>
      <c r="BB18" s="606">
        <f t="shared" si="11"/>
        <v>7.0004999999999997</v>
      </c>
      <c r="BC18" s="606">
        <f t="shared" si="11"/>
        <v>5.9999999999999995E-4</v>
      </c>
      <c r="BD18" s="606">
        <f t="shared" si="11"/>
        <v>13.0007</v>
      </c>
      <c r="BE18" s="606">
        <f t="shared" si="11"/>
        <v>12.0008</v>
      </c>
      <c r="BF18" s="606">
        <f t="shared" si="11"/>
        <v>14.0009</v>
      </c>
      <c r="BG18" s="606">
        <f t="shared" si="11"/>
        <v>15.000999999999999</v>
      </c>
    </row>
    <row r="19" spans="1:59" x14ac:dyDescent="0.2">
      <c r="A19" s="583">
        <f>IF(R19&gt;0,IF(Q19="v",RANK(B19,B$7:B$62,1)-COUNTBLANK(Q$7:Q$62),""),"")</f>
        <v>11</v>
      </c>
      <c r="B19" s="584">
        <f t="shared" si="0"/>
        <v>13</v>
      </c>
      <c r="C19" s="585" t="str">
        <f>IF(R19&gt;0,IF(P19="k",RANK(D19,D$7:D$62,1)-COUNTBLANK(P$7:P$62),""),"")</f>
        <v/>
      </c>
      <c r="D19" s="584">
        <f t="shared" si="1"/>
        <v>-987</v>
      </c>
      <c r="E19" s="586">
        <f>IF(R19&gt;0,IF(N19="m",RANK(F19,F$7:F$62,1)-COUNTBLANK(N$7:N$62),""),"")</f>
        <v>12</v>
      </c>
      <c r="F19" s="584">
        <f t="shared" si="2"/>
        <v>13</v>
      </c>
      <c r="G19" s="587" t="str">
        <f>IF(R19&gt;0,IF(M19="n",RANK(H19,H$7:H$62,1)-COUNTBLANK(M$7:M$62),""),"")</f>
        <v/>
      </c>
      <c r="H19" s="584">
        <f t="shared" si="3"/>
        <v>-987</v>
      </c>
      <c r="I19" s="588" t="str">
        <f>IF(R19&gt;0,IF(O19="j",RANK(J19,J$7:J$62,1)-COUNTBLANK(O$7:O$62),""),"")</f>
        <v/>
      </c>
      <c r="J19" s="589">
        <f t="shared" si="4"/>
        <v>-987</v>
      </c>
      <c r="K19" s="548">
        <f>IF(R19&gt;0,RANK(U19,U$7:U$62,1),"")</f>
        <v>13</v>
      </c>
      <c r="L19" s="590" t="s">
        <v>231</v>
      </c>
      <c r="M19" s="591"/>
      <c r="N19" s="592" t="str">
        <f t="shared" si="13"/>
        <v>m</v>
      </c>
      <c r="O19" s="593"/>
      <c r="P19" s="594"/>
      <c r="Q19" s="595" t="s">
        <v>319</v>
      </c>
      <c r="R19" s="596">
        <f>(IF(COUNT(Z19,AA19,AB19,AC19,AD19,AE19,AF19,AG19,AH19,AI19)&lt;9,SUM(Z19,AA19,AB19,AC19,AD19,AE19,AF19,AG19,AH19,AI19),SUM(LARGE((Z19,AA19,AB19,AC19,AD19,AE19,AF19,AG19,AH19,AI19),{1;2;3;4;5;6;7;8;9}))))</f>
        <v>103</v>
      </c>
      <c r="S19" s="597" t="str">
        <f>INDEX(ETAPP!B$1:B$32,MATCH(COUNTIF(Z19:AI19,PVO!A$1),ETAPP!A$1:A$32,0))&amp;INDEX(ETAPP!B$1:B$32,MATCH(COUNTIF(Z19:AI19,PVO!A$2),ETAPP!A$1:A$32,0))&amp;INDEX(ETAPP!B$1:B$32,MATCH(COUNTIF(Z19:AI19,PVO!A$3),ETAPP!A$1:A$32,0))&amp;INDEX(ETAPP!B$1:B$32,MATCH(COUNTIF(Z19:AI19,PVO!A$4),ETAPP!A$1:A$32,0))&amp;INDEX(ETAPP!B$1:B$32,MATCH(COUNTIF(Z19:AI19,PVO!A$5),ETAPP!A$1:A$32,0))&amp;INDEX(ETAPP!B$1:B$32,MATCH(COUNTIF(Z19:AI19,PVO!A$6),ETAPP!A$1:A$32,0))&amp;INDEX(ETAPP!B$1:B$32,MATCH(COUNTIF(Z19:AI19,PVO!A$7),ETAPP!A$1:A$32,0))&amp;INDEX(ETAPP!B$1:B$32,MATCH(COUNTIF(Z19:AI19,PVO!A$8),ETAPP!A$1:A$32,0))&amp;INDEX(ETAPP!B$1:B$32,MATCH(COUNTIF(Z19:AI19,PVO!A$9),ETAPP!A$1:A$32,0))&amp;INDEX(ETAPP!B$1:B$32,MATCH(COUNTIF(Z19:AI19,PVO!A$10),ETAPP!A$1:A$32,0))&amp;INDEX(ETAPP!B$1:B$32,MATCH(COUNTIF(Z19:AI19,PVO!A$11),ETAPP!A$1:A$32,0))&amp;INDEX(ETAPP!B$1:B$32,MATCH(COUNTIF(Z19:AI19,PVO!A$12),ETAPP!A$1:A$32,0))&amp;INDEX(ETAPP!B$1:B$32,MATCH(COUNTIF(Z19:AI19,PVO!A$13),ETAPP!A$1:A$32,0))&amp;INDEX(ETAPP!B$1:B$32,MATCH(COUNTIF(Z19:AI19,PVO!A$14),ETAPP!A$1:A$32,0))&amp;INDEX(ETAPP!B$1:B$32,MATCH(COUNTIF(Z19:AI19,PVO!A$15),ETAPP!A$1:A$32,0))&amp;INDEX(ETAPP!B$1:B$32,MATCH(COUNTIF(Z19:AI19,PVO!A$16),ETAPP!A$1:A$32,0))&amp;INDEX(ETAPP!B$1:B$32,MATCH(COUNTIF(Z19:AI19,PVO!A$17),ETAPP!A$1:A$32,0))&amp;INDEX(ETAPP!B$1:B$32,MATCH(COUNTIF(Z19:AI19,PVO!A$18),ETAPP!A$1:A$32,0))&amp;INDEX(ETAPP!B$1:B$32,MATCH(COUNTIF(Z19:AI19,PVO!A$19),ETAPP!A$1:A$32,0))</f>
        <v>00A0AA00BAAA0000000</v>
      </c>
      <c r="T19" s="597" t="str">
        <f t="shared" si="5"/>
        <v>103,0-00A0AA00BAAA0000000</v>
      </c>
      <c r="U19" s="597">
        <f>COUNTIF(T$7:T$62,"&gt;="&amp;T19)</f>
        <v>13</v>
      </c>
      <c r="V19" s="597">
        <f>COUNTIF(L$7:L$62,"&gt;="&amp;L19)</f>
        <v>51</v>
      </c>
      <c r="W19" s="597" t="str">
        <f t="shared" si="6"/>
        <v>103,0-00A0AA00BAAA0000000-051</v>
      </c>
      <c r="X19" s="597">
        <f>COUNTIF(W$7:W$62,"&gt;="&amp;W19)</f>
        <v>13</v>
      </c>
      <c r="Y19" s="598">
        <f>RANK(X19,X$7:X$62,0)</f>
        <v>44</v>
      </c>
      <c r="Z19" s="599" t="str">
        <f>IFERROR(INDEX('V1'!C$300:C$400,MATCH("*"&amp;L19&amp;"*",'V1'!B$300:B$400,0)),"  ")</f>
        <v xml:space="preserve">  </v>
      </c>
      <c r="AA19" s="599">
        <f>IFERROR(INDEX('V2'!C$300:C$400,MATCH("*"&amp;L19&amp;"*",'V2'!B$300:B$400,0)),"  ")</f>
        <v>16</v>
      </c>
      <c r="AB19" s="599">
        <f>IFERROR(INDEX('V3'!C$300:C$400,MATCH("*"&amp;L19&amp;"*",'V3'!B$300:B$400,0)),"  ")</f>
        <v>11</v>
      </c>
      <c r="AC19" s="599">
        <f>IFERROR(INDEX('V4'!C$300:C$400,MATCH("*"&amp;L19&amp;"*",'V4'!B$300:B$400,0)),"  ")</f>
        <v>10</v>
      </c>
      <c r="AD19" s="599">
        <f>IFERROR(INDEX('V5'!C$300:C$400,MATCH("*"&amp;L19&amp;"*",'V5'!B$300:B$400,0)),"  ")</f>
        <v>9</v>
      </c>
      <c r="AE19" s="599">
        <f>IFERROR(INDEX('V6'!C$300:C$400,MATCH("*"&amp;L19&amp;"*",'V6'!B$300:B$400,0)),"  ")</f>
        <v>12</v>
      </c>
      <c r="AF19" s="599">
        <f>IFERROR(INDEX('V7'!C$300:C$400,MATCH("*"&amp;L19&amp;"*",'V7'!B$300:B$400,0)),"  ")</f>
        <v>15</v>
      </c>
      <c r="AG19" s="599">
        <f>IFERROR(INDEX('V8'!C$300:C$400,MATCH("*"&amp;L19&amp;"*",'V8'!B$300:B$400,0)),"  ")</f>
        <v>18</v>
      </c>
      <c r="AH19" s="599">
        <f>IFERROR(INDEX('V9'!C$300:C$400,MATCH("*"&amp;L19&amp;"*",'V9'!B$300:B$400,0)),"  ")</f>
        <v>12</v>
      </c>
      <c r="AI19" s="599" t="str">
        <f>IFERROR(INDEX('V10'!C$300:C$400,MATCH("*"&amp;L19&amp;"*",'V10'!B$300:B$400,0)),"  ")</f>
        <v xml:space="preserve">  </v>
      </c>
      <c r="AJ19" s="600">
        <f t="shared" si="7"/>
        <v>1</v>
      </c>
      <c r="AK19" s="600">
        <f t="shared" si="8"/>
        <v>44</v>
      </c>
      <c r="AL19" s="601" t="str">
        <f>IFERROR("edasi "&amp;RANK(AK19,AK$7:AK$62,0),K19)</f>
        <v>edasi 13</v>
      </c>
      <c r="AM19" s="602" t="str">
        <f>IFERROR(INDEX('V-fin'!A$300:A$400,MATCH("*"&amp;L19&amp;"*",'V-fin'!B$300:B$400,0)),"  ")</f>
        <v xml:space="preserve">  </v>
      </c>
      <c r="AN19" s="603">
        <f t="shared" si="9"/>
        <v>8</v>
      </c>
      <c r="AO19" s="604">
        <f>IFERROR(IF(Z19+1&gt;LARGE(Z$7:Z$62,1)-2,1),0)+IFERROR(IF(AA19+1&gt;LARGE(AA$7:AA$62,1)-2,1),0)+IFERROR(IF(AB19+1&gt;LARGE(AB$7:AB$62,1)-2,1),0)+IFERROR(IF(AC19+1&gt;LARGE(AC$7:AC$62,1)-2,1),0)+IFERROR(IF(AD19+1&gt;LARGE(AD$7:AD$62,1)-2,1),0)+IFERROR(IF(AE19+1&gt;LARGE(AE$7:AE$62,1)-2,1),0)+IFERROR(IF(AF19+1&gt;LARGE(AF$7:AF$62,1)-2,1),0)+IFERROR(IF(AG19+1&gt;LARGE(AG$7:AG$62,1)-2,1),0)+IFERROR(IF(AH19+1&gt;LARGE(AH$7:AH$62,1)-2,1),0)+IFERROR(IF(AI19+1&gt;LARGE(AI$7:AI$62,1)-2,1),0)</f>
        <v>1</v>
      </c>
      <c r="AP19" s="604">
        <f>IF(Z19=0,0,IF(Z19=IFERROR(LARGE(Z$7:Z$62,1),0),1,0))+IF(AA19=0,0,IF(AA19=IFERROR(LARGE(AA$7:AA$62,1),0),1,0))+IF(AB19=0,0,IF(AB19=IFERROR(LARGE(AB$7:AB$62,1),0),1,0))+IF(AC19=0,0,IF(AC19=IFERROR(LARGE(AC$7:AC$62,1),0),1,0))+IF(AD19=0,0,IF(AD19=IFERROR(LARGE(AD$7:AD$62,1),0),1,0))+IF(AE19=0,0,IF(AE19=IFERROR(LARGE(AE$7:AE$62,1),0),1,0))+IF(AF19=0,0,IF(AF19=IFERROR(LARGE(AF$7:AF$62,1),0),1,0))+IF(AG19=0,0,IF(AG19=IFERROR(LARGE(AG$7:AG$62,1),0),1,0))+IF(AH19=0,0,IF(AH19=IFERROR(LARGE(AH$7:AH$62,1),0),1,0))+IF(AI19=0,0,IF(AI19=IFERROR(LARGE(AI$7:AI$62,1),0),1,0))</f>
        <v>0</v>
      </c>
      <c r="AQ19" s="512"/>
      <c r="AR19" s="605"/>
      <c r="AS19" s="606"/>
      <c r="AT19" s="606"/>
      <c r="AU19" s="606"/>
      <c r="AV19" s="606"/>
      <c r="AW19" s="605">
        <f t="shared" si="10"/>
        <v>1E-4</v>
      </c>
      <c r="AX19" s="606">
        <f t="shared" si="11"/>
        <v>1E-4</v>
      </c>
      <c r="AY19" s="606">
        <f t="shared" si="11"/>
        <v>16.0002</v>
      </c>
      <c r="AZ19" s="606">
        <f t="shared" si="11"/>
        <v>11.000299999999999</v>
      </c>
      <c r="BA19" s="606">
        <f t="shared" si="11"/>
        <v>10.000400000000001</v>
      </c>
      <c r="BB19" s="606">
        <f t="shared" si="11"/>
        <v>9.0005000000000006</v>
      </c>
      <c r="BC19" s="606">
        <f t="shared" si="11"/>
        <v>12.0006</v>
      </c>
      <c r="BD19" s="606">
        <f t="shared" si="11"/>
        <v>15.0007</v>
      </c>
      <c r="BE19" s="606">
        <f t="shared" si="11"/>
        <v>18.000800000000002</v>
      </c>
      <c r="BF19" s="606">
        <f t="shared" si="11"/>
        <v>12.0009</v>
      </c>
      <c r="BG19" s="606">
        <f t="shared" si="11"/>
        <v>1E-3</v>
      </c>
    </row>
    <row r="20" spans="1:59" x14ac:dyDescent="0.2">
      <c r="A20" s="583">
        <f>IF(R20&gt;0,IF(Q20="v",RANK(B20,B$7:B$62,1)-COUNTBLANK(Q$7:Q$62),""),"")</f>
        <v>12</v>
      </c>
      <c r="B20" s="584">
        <f t="shared" si="0"/>
        <v>14</v>
      </c>
      <c r="C20" s="585">
        <f>IF(R20&gt;0,IF(P20="k",RANK(D20,D$7:D$62,1)-COUNTBLANK(P$7:P$62),""),"")</f>
        <v>4</v>
      </c>
      <c r="D20" s="584">
        <f t="shared" si="1"/>
        <v>14</v>
      </c>
      <c r="E20" s="586">
        <f>IF(R20&gt;0,IF(N20="m",RANK(F20,F$7:F$62,1)-COUNTBLANK(N$7:N$62),""),"")</f>
        <v>13</v>
      </c>
      <c r="F20" s="584">
        <f t="shared" si="2"/>
        <v>14</v>
      </c>
      <c r="G20" s="587" t="str">
        <f>IF(R20&gt;0,IF(M20="n",RANK(H20,H$7:H$62,1)-COUNTBLANK(M$7:M$62),""),"")</f>
        <v/>
      </c>
      <c r="H20" s="584">
        <f t="shared" si="3"/>
        <v>-986</v>
      </c>
      <c r="I20" s="588" t="str">
        <f>IF(R20&gt;0,IF(O20="j",RANK(J20,J$7:J$62,1)-COUNTBLANK(O$7:O$62),""),"")</f>
        <v/>
      </c>
      <c r="J20" s="589">
        <f t="shared" si="4"/>
        <v>-986</v>
      </c>
      <c r="K20" s="548">
        <f>IF(R20&gt;0,RANK(U20,U$7:U$62,1),"")</f>
        <v>14</v>
      </c>
      <c r="L20" s="590" t="s">
        <v>244</v>
      </c>
      <c r="M20" s="591"/>
      <c r="N20" s="592" t="str">
        <f t="shared" si="13"/>
        <v>m</v>
      </c>
      <c r="O20" s="593"/>
      <c r="P20" s="594" t="s">
        <v>320</v>
      </c>
      <c r="Q20" s="595" t="s">
        <v>319</v>
      </c>
      <c r="R20" s="596">
        <f>(IF(COUNT(Z20,AA20,AB20,AC20,AD20,AE20,AF20,AG20,AH20,AI20)&lt;9,SUM(Z20,AA20,AB20,AC20,AD20,AE20,AF20,AG20,AH20,AI20),SUM(LARGE((Z20,AA20,AB20,AC20,AD20,AE20,AF20,AG20,AH20,AI20),{1;2;3;4;5;6;7;8;9}))))</f>
        <v>102</v>
      </c>
      <c r="S20" s="597" t="str">
        <f>INDEX(ETAPP!B$1:B$32,MATCH(COUNTIF(Z20:AI20,PVO!A$1),ETAPP!A$1:A$32,0))&amp;INDEX(ETAPP!B$1:B$32,MATCH(COUNTIF(Z20:AI20,PVO!A$2),ETAPP!A$1:A$32,0))&amp;INDEX(ETAPP!B$1:B$32,MATCH(COUNTIF(Z20:AI20,PVO!A$3),ETAPP!A$1:A$32,0))&amp;INDEX(ETAPP!B$1:B$32,MATCH(COUNTIF(Z20:AI20,PVO!A$4),ETAPP!A$1:A$32,0))&amp;INDEX(ETAPP!B$1:B$32,MATCH(COUNTIF(Z20:AI20,PVO!A$5),ETAPP!A$1:A$32,0))&amp;INDEX(ETAPP!B$1:B$32,MATCH(COUNTIF(Z20:AI20,PVO!A$6),ETAPP!A$1:A$32,0))&amp;INDEX(ETAPP!B$1:B$32,MATCH(COUNTIF(Z20:AI20,PVO!A$7),ETAPP!A$1:A$32,0))&amp;INDEX(ETAPP!B$1:B$32,MATCH(COUNTIF(Z20:AI20,PVO!A$8),ETAPP!A$1:A$32,0))&amp;INDEX(ETAPP!B$1:B$32,MATCH(COUNTIF(Z20:AI20,PVO!A$9),ETAPP!A$1:A$32,0))&amp;INDEX(ETAPP!B$1:B$32,MATCH(COUNTIF(Z20:AI20,PVO!A$10),ETAPP!A$1:A$32,0))&amp;INDEX(ETAPP!B$1:B$32,MATCH(COUNTIF(Z20:AI20,PVO!A$11),ETAPP!A$1:A$32,0))&amp;INDEX(ETAPP!B$1:B$32,MATCH(COUNTIF(Z20:AI20,PVO!A$12),ETAPP!A$1:A$32,0))&amp;INDEX(ETAPP!B$1:B$32,MATCH(COUNTIF(Z20:AI20,PVO!A$13),ETAPP!A$1:A$32,0))&amp;INDEX(ETAPP!B$1:B$32,MATCH(COUNTIF(Z20:AI20,PVO!A$14),ETAPP!A$1:A$32,0))&amp;INDEX(ETAPP!B$1:B$32,MATCH(COUNTIF(Z20:AI20,PVO!A$15),ETAPP!A$1:A$32,0))&amp;INDEX(ETAPP!B$1:B$32,MATCH(COUNTIF(Z20:AI20,PVO!A$16),ETAPP!A$1:A$32,0))&amp;INDEX(ETAPP!B$1:B$32,MATCH(COUNTIF(Z20:AI20,PVO!A$17),ETAPP!A$1:A$32,0))&amp;INDEX(ETAPP!B$1:B$32,MATCH(COUNTIF(Z20:AI20,PVO!A$18),ETAPP!A$1:A$32,0))&amp;INDEX(ETAPP!B$1:B$32,MATCH(COUNTIF(Z20:AI20,PVO!A$19),ETAPP!A$1:A$32,0))</f>
        <v>00B00A00B0AAA000000</v>
      </c>
      <c r="T20" s="597" t="str">
        <f t="shared" si="5"/>
        <v>102,0-00B00A00B0AAA000000</v>
      </c>
      <c r="U20" s="597">
        <f>COUNTIF(T$7:T$62,"&gt;="&amp;T20)</f>
        <v>14</v>
      </c>
      <c r="V20" s="597">
        <f>COUNTIF(L$7:L$62,"&gt;="&amp;L20)</f>
        <v>47</v>
      </c>
      <c r="W20" s="597" t="str">
        <f t="shared" si="6"/>
        <v>102,0-00B00A00B0AAA000000-047</v>
      </c>
      <c r="X20" s="597">
        <f>COUNTIF(W$7:W$62,"&gt;="&amp;W20)</f>
        <v>14</v>
      </c>
      <c r="Y20" s="598">
        <f>RANK(X20,X$7:X$62,0)</f>
        <v>43</v>
      </c>
      <c r="Z20" s="599">
        <f>IFERROR(INDEX('V1'!C$300:C$400,MATCH("*"&amp;L20&amp;"*",'V1'!B$300:B$400,0)),"  ")</f>
        <v>15</v>
      </c>
      <c r="AA20" s="599">
        <f>IFERROR(INDEX('V2'!C$300:C$400,MATCH("*"&amp;L20&amp;"*",'V2'!B$300:B$400,0)),"  ")</f>
        <v>8</v>
      </c>
      <c r="AB20" s="599">
        <f>IFERROR(INDEX('V3'!C$300:C$400,MATCH("*"&amp;L20&amp;"*",'V3'!B$300:B$400,0)),"  ")</f>
        <v>12</v>
      </c>
      <c r="AC20" s="599">
        <f>IFERROR(INDEX('V4'!C$300:C$400,MATCH("*"&amp;L20&amp;"*",'V4'!B$300:B$400,0)),"  ")</f>
        <v>9</v>
      </c>
      <c r="AD20" s="599">
        <f>IFERROR(INDEX('V5'!C$300:C$400,MATCH("*"&amp;L20&amp;"*",'V5'!B$300:B$400,0)),"  ")</f>
        <v>18</v>
      </c>
      <c r="AE20" s="599">
        <f>IFERROR(INDEX('V6'!C$300:C$400,MATCH("*"&amp;L20&amp;"*",'V6'!B$300:B$400,0)),"  ")</f>
        <v>18</v>
      </c>
      <c r="AF20" s="599">
        <f>IFERROR(INDEX('V7'!C$300:C$400,MATCH("*"&amp;L20&amp;"*",'V7'!B$300:B$400,0)),"  ")</f>
        <v>12</v>
      </c>
      <c r="AG20" s="599" t="str">
        <f>IFERROR(INDEX('V8'!C$300:C$400,MATCH("*"&amp;L20&amp;"*",'V8'!B$300:B$400,0)),"  ")</f>
        <v xml:space="preserve">  </v>
      </c>
      <c r="AH20" s="599" t="str">
        <f>IFERROR(INDEX('V9'!C$300:C$400,MATCH("*"&amp;L20&amp;"*",'V9'!B$300:B$400,0)),"  ")</f>
        <v xml:space="preserve">  </v>
      </c>
      <c r="AI20" s="599">
        <f>IFERROR(INDEX('V10'!C$300:C$400,MATCH("*"&amp;L20&amp;"*",'V10'!B$300:B$400,0)),"  ")</f>
        <v>10</v>
      </c>
      <c r="AJ20" s="600">
        <f t="shared" si="7"/>
        <v>1</v>
      </c>
      <c r="AK20" s="600">
        <f t="shared" si="8"/>
        <v>43</v>
      </c>
      <c r="AL20" s="601" t="str">
        <f>IFERROR("edasi "&amp;RANK(AK20,AK$7:AK$62,0),K20)</f>
        <v>edasi 14</v>
      </c>
      <c r="AM20" s="602">
        <f>IFERROR(INDEX('V-fin'!A$300:A$400,MATCH("*"&amp;L20&amp;"*",'V-fin'!B$300:B$400,0)),"  ")</f>
        <v>22</v>
      </c>
      <c r="AN20" s="603">
        <f t="shared" si="9"/>
        <v>8</v>
      </c>
      <c r="AO20" s="604">
        <f>IFERROR(IF(Z20+1&gt;LARGE(Z$7:Z$62,1)-2,1),0)+IFERROR(IF(AA20+1&gt;LARGE(AA$7:AA$62,1)-2,1),0)+IFERROR(IF(AB20+1&gt;LARGE(AB$7:AB$62,1)-2,1),0)+IFERROR(IF(AC20+1&gt;LARGE(AC$7:AC$62,1)-2,1),0)+IFERROR(IF(AD20+1&gt;LARGE(AD$7:AD$62,1)-2,1),0)+IFERROR(IF(AE20+1&gt;LARGE(AE$7:AE$62,1)-2,1),0)+IFERROR(IF(AF20+1&gt;LARGE(AF$7:AF$62,1)-2,1),0)+IFERROR(IF(AG20+1&gt;LARGE(AG$7:AG$62,1)-2,1),0)+IFERROR(IF(AH20+1&gt;LARGE(AH$7:AH$62,1)-2,1),0)+IFERROR(IF(AI20+1&gt;LARGE(AI$7:AI$62,1)-2,1),0)</f>
        <v>2</v>
      </c>
      <c r="AP20" s="604">
        <f>IF(Z20=0,0,IF(Z20=IFERROR(LARGE(Z$7:Z$62,1),0),1,0))+IF(AA20=0,0,IF(AA20=IFERROR(LARGE(AA$7:AA$62,1),0),1,0))+IF(AB20=0,0,IF(AB20=IFERROR(LARGE(AB$7:AB$62,1),0),1,0))+IF(AC20=0,0,IF(AC20=IFERROR(LARGE(AC$7:AC$62,1),0),1,0))+IF(AD20=0,0,IF(AD20=IFERROR(LARGE(AD$7:AD$62,1),0),1,0))+IF(AE20=0,0,IF(AE20=IFERROR(LARGE(AE$7:AE$62,1),0),1,0))+IF(AF20=0,0,IF(AF20=IFERROR(LARGE(AF$7:AF$62,1),0),1,0))+IF(AG20=0,0,IF(AG20=IFERROR(LARGE(AG$7:AG$62,1),0),1,0))+IF(AH20=0,0,IF(AH20=IFERROR(LARGE(AH$7:AH$62,1),0),1,0))+IF(AI20=0,0,IF(AI20=IFERROR(LARGE(AI$7:AI$62,1),0),1,0))</f>
        <v>0</v>
      </c>
      <c r="AQ20" s="512"/>
      <c r="AR20" s="605"/>
      <c r="AS20" s="606"/>
      <c r="AT20" s="606"/>
      <c r="AU20" s="606"/>
      <c r="AV20" s="606"/>
      <c r="AW20" s="605">
        <f t="shared" si="10"/>
        <v>8.0000000000000004E-4</v>
      </c>
      <c r="AX20" s="606">
        <f t="shared" si="11"/>
        <v>15.0001</v>
      </c>
      <c r="AY20" s="606">
        <f t="shared" si="11"/>
        <v>8.0001999999999995</v>
      </c>
      <c r="AZ20" s="606">
        <f t="shared" si="11"/>
        <v>12.000299999999999</v>
      </c>
      <c r="BA20" s="606">
        <f t="shared" si="11"/>
        <v>9.0004000000000008</v>
      </c>
      <c r="BB20" s="606">
        <f t="shared" si="11"/>
        <v>18.000499999999999</v>
      </c>
      <c r="BC20" s="606">
        <f t="shared" si="11"/>
        <v>18.000599999999999</v>
      </c>
      <c r="BD20" s="606">
        <f t="shared" si="11"/>
        <v>12.0007</v>
      </c>
      <c r="BE20" s="606">
        <f t="shared" si="11"/>
        <v>8.0000000000000004E-4</v>
      </c>
      <c r="BF20" s="606">
        <f t="shared" si="11"/>
        <v>8.9999999999999998E-4</v>
      </c>
      <c r="BG20" s="606">
        <f t="shared" si="11"/>
        <v>10.000999999999999</v>
      </c>
    </row>
    <row r="21" spans="1:59" x14ac:dyDescent="0.2">
      <c r="A21" s="583" t="str">
        <f>IF(R21&gt;0,IF(Q21="v",RANK(B21,B$7:B$62,1)-COUNTBLANK(Q$7:Q$62),""),"")</f>
        <v/>
      </c>
      <c r="B21" s="584">
        <f t="shared" si="0"/>
        <v>-985</v>
      </c>
      <c r="C21" s="585" t="str">
        <f>IF(R21&gt;0,IF(P21="k",RANK(D21,D$7:D$62,1)-COUNTBLANK(P$7:P$62),""),"")</f>
        <v/>
      </c>
      <c r="D21" s="584">
        <f t="shared" si="1"/>
        <v>-985</v>
      </c>
      <c r="E21" s="586">
        <f>IF(R21&gt;0,IF(N21="m",RANK(F21,F$7:F$62,1)-COUNTBLANK(N$7:N$62),""),"")</f>
        <v>14</v>
      </c>
      <c r="F21" s="584">
        <f t="shared" si="2"/>
        <v>15</v>
      </c>
      <c r="G21" s="587" t="str">
        <f>IF(R21&gt;0,IF(M21="n",RANK(H21,H$7:H$62,1)-COUNTBLANK(M$7:M$62),""),"")</f>
        <v/>
      </c>
      <c r="H21" s="584">
        <f t="shared" si="3"/>
        <v>-985</v>
      </c>
      <c r="I21" s="588" t="str">
        <f>IF(R21&gt;0,IF(O21="j",RANK(J21,J$7:J$62,1)-COUNTBLANK(O$7:O$62),""),"")</f>
        <v/>
      </c>
      <c r="J21" s="589">
        <f t="shared" si="4"/>
        <v>-985</v>
      </c>
      <c r="K21" s="548">
        <f>IF(R21&gt;0,RANK(U21,U$7:U$62,1),"")</f>
        <v>15</v>
      </c>
      <c r="L21" s="607" t="s">
        <v>228</v>
      </c>
      <c r="M21" s="591"/>
      <c r="N21" s="592" t="str">
        <f t="shared" si="13"/>
        <v>m</v>
      </c>
      <c r="O21" s="593"/>
      <c r="P21" s="594"/>
      <c r="Q21" s="595"/>
      <c r="R21" s="596">
        <f>(IF(COUNT(Z21,AA21,AB21,AC21,AD21,AE21,AF21,AG21,AH21,AI21)&lt;9,SUM(Z21,AA21,AB21,AC21,AD21,AE21,AF21,AG21,AH21,AI21),SUM(LARGE((Z21,AA21,AB21,AC21,AD21,AE21,AF21,AG21,AH21,AI21),{1;2;3;4;5;6;7;8;9}))))</f>
        <v>101</v>
      </c>
      <c r="S21" s="597" t="str">
        <f>INDEX(ETAPP!B$1:B$32,MATCH(COUNTIF(Z21:AI21,PVO!A$1),ETAPP!A$1:A$32,0))&amp;INDEX(ETAPP!B$1:B$32,MATCH(COUNTIF(Z21:AI21,PVO!A$2),ETAPP!A$1:A$32,0))&amp;INDEX(ETAPP!B$1:B$32,MATCH(COUNTIF(Z21:AI21,PVO!A$3),ETAPP!A$1:A$32,0))&amp;INDEX(ETAPP!B$1:B$32,MATCH(COUNTIF(Z21:AI21,PVO!A$4),ETAPP!A$1:A$32,0))&amp;INDEX(ETAPP!B$1:B$32,MATCH(COUNTIF(Z21:AI21,PVO!A$5),ETAPP!A$1:A$32,0))&amp;INDEX(ETAPP!B$1:B$32,MATCH(COUNTIF(Z21:AI21,PVO!A$6),ETAPP!A$1:A$32,0))&amp;INDEX(ETAPP!B$1:B$32,MATCH(COUNTIF(Z21:AI21,PVO!A$7),ETAPP!A$1:A$32,0))&amp;INDEX(ETAPP!B$1:B$32,MATCH(COUNTIF(Z21:AI21,PVO!A$8),ETAPP!A$1:A$32,0))&amp;INDEX(ETAPP!B$1:B$32,MATCH(COUNTIF(Z21:AI21,PVO!A$9),ETAPP!A$1:A$32,0))&amp;INDEX(ETAPP!B$1:B$32,MATCH(COUNTIF(Z21:AI21,PVO!A$10),ETAPP!A$1:A$32,0))&amp;INDEX(ETAPP!B$1:B$32,MATCH(COUNTIF(Z21:AI21,PVO!A$11),ETAPP!A$1:A$32,0))&amp;INDEX(ETAPP!B$1:B$32,MATCH(COUNTIF(Z21:AI21,PVO!A$12),ETAPP!A$1:A$32,0))&amp;INDEX(ETAPP!B$1:B$32,MATCH(COUNTIF(Z21:AI21,PVO!A$13),ETAPP!A$1:A$32,0))&amp;INDEX(ETAPP!B$1:B$32,MATCH(COUNTIF(Z21:AI21,PVO!A$14),ETAPP!A$1:A$32,0))&amp;INDEX(ETAPP!B$1:B$32,MATCH(COUNTIF(Z21:AI21,PVO!A$15),ETAPP!A$1:A$32,0))&amp;INDEX(ETAPP!B$1:B$32,MATCH(COUNTIF(Z21:AI21,PVO!A$16),ETAPP!A$1:A$32,0))&amp;INDEX(ETAPP!B$1:B$32,MATCH(COUNTIF(Z21:AI21,PVO!A$17),ETAPP!A$1:A$32,0))&amp;INDEX(ETAPP!B$1:B$32,MATCH(COUNTIF(Z21:AI21,PVO!A$18),ETAPP!A$1:A$32,0))&amp;INDEX(ETAPP!B$1:B$32,MATCH(COUNTIF(Z21:AI21,PVO!A$19),ETAPP!A$1:A$32,0))</f>
        <v>00BC00A000000000000</v>
      </c>
      <c r="T21" s="597" t="str">
        <f t="shared" si="5"/>
        <v>101,0-00BC00A000000000000</v>
      </c>
      <c r="U21" s="597">
        <f>COUNTIF(T$7:T$62,"&gt;="&amp;T21)</f>
        <v>15</v>
      </c>
      <c r="V21" s="597">
        <f>COUNTIF(L$7:L$62,"&gt;="&amp;L21)</f>
        <v>26</v>
      </c>
      <c r="W21" s="597" t="str">
        <f t="shared" si="6"/>
        <v>101,0-00BC00A000000000000-026</v>
      </c>
      <c r="X21" s="597">
        <f>COUNTIF(W$7:W$62,"&gt;="&amp;W21)</f>
        <v>15</v>
      </c>
      <c r="Y21" s="598">
        <f>RANK(X21,X$7:X$62,0)</f>
        <v>42</v>
      </c>
      <c r="Z21" s="599">
        <f>IFERROR(INDEX('V1'!C$300:C$400,MATCH("*"&amp;L21&amp;"*",'V1'!B$300:B$400,0)),"  ")</f>
        <v>17</v>
      </c>
      <c r="AA21" s="599">
        <f>IFERROR(INDEX('V2'!C$300:C$400,MATCH("*"&amp;L21&amp;"*",'V2'!B$300:B$400,0)),"  ")</f>
        <v>18</v>
      </c>
      <c r="AB21" s="599">
        <f>IFERROR(INDEX('V3'!C$300:C$400,MATCH("*"&amp;L21&amp;"*",'V3'!B$300:B$400,0)),"  ")</f>
        <v>17</v>
      </c>
      <c r="AC21" s="599" t="str">
        <f>IFERROR(INDEX('V4'!C$300:C$400,MATCH("*"&amp;L21&amp;"*",'V4'!B$300:B$400,0)),"  ")</f>
        <v xml:space="preserve">  </v>
      </c>
      <c r="AD21" s="599">
        <f>IFERROR(INDEX('V5'!C$300:C$400,MATCH("*"&amp;L21&amp;"*",'V5'!B$300:B$400,0)),"  ")</f>
        <v>17</v>
      </c>
      <c r="AE21" s="599">
        <f>IFERROR(INDEX('V6'!C$300:C$400,MATCH("*"&amp;L21&amp;"*",'V6'!B$300:B$400,0)),"  ")</f>
        <v>14</v>
      </c>
      <c r="AF21" s="599">
        <f>IFERROR(INDEX('V7'!C$300:C$400,MATCH("*"&amp;L21&amp;"*",'V7'!B$300:B$400,0)),"  ")</f>
        <v>18</v>
      </c>
      <c r="AG21" s="599" t="str">
        <f>IFERROR(INDEX('V8'!C$300:C$400,MATCH("*"&amp;L21&amp;"*",'V8'!B$300:B$400,0)),"  ")</f>
        <v xml:space="preserve">  </v>
      </c>
      <c r="AH21" s="599" t="str">
        <f>IFERROR(INDEX('V9'!C$300:C$400,MATCH("*"&amp;L21&amp;"*",'V9'!B$300:B$400,0)),"  ")</f>
        <v xml:space="preserve">  </v>
      </c>
      <c r="AI21" s="599" t="str">
        <f>IFERROR(INDEX('V10'!C$300:C$400,MATCH("*"&amp;L21&amp;"*",'V10'!B$300:B$400,0)),"  ")</f>
        <v xml:space="preserve">  </v>
      </c>
      <c r="AJ21" s="600">
        <f t="shared" si="7"/>
        <v>1</v>
      </c>
      <c r="AK21" s="600">
        <f t="shared" si="8"/>
        <v>42</v>
      </c>
      <c r="AL21" s="601" t="str">
        <f>IFERROR("edasi "&amp;RANK(AK21,AK$7:AK$62,0),K21)</f>
        <v>edasi 15</v>
      </c>
      <c r="AM21" s="602">
        <f>IFERROR(INDEX('V-fin'!A$300:A$400,MATCH("*"&amp;L21&amp;"*",'V-fin'!B$300:B$400,0)),"  ")</f>
        <v>21</v>
      </c>
      <c r="AN21" s="603">
        <f t="shared" si="9"/>
        <v>6</v>
      </c>
      <c r="AO21" s="604">
        <f>IFERROR(IF(Z21+1&gt;LARGE(Z$7:Z$62,1)-2,1),0)+IFERROR(IF(AA21+1&gt;LARGE(AA$7:AA$62,1)-2,1),0)+IFERROR(IF(AB21+1&gt;LARGE(AB$7:AB$62,1)-2,1),0)+IFERROR(IF(AC21+1&gt;LARGE(AC$7:AC$62,1)-2,1),0)+IFERROR(IF(AD21+1&gt;LARGE(AD$7:AD$62,1)-2,1),0)+IFERROR(IF(AE21+1&gt;LARGE(AE$7:AE$62,1)-2,1),0)+IFERROR(IF(AF21+1&gt;LARGE(AF$7:AF$62,1)-2,1),0)+IFERROR(IF(AG21+1&gt;LARGE(AG$7:AG$62,1)-2,1),0)+IFERROR(IF(AH21+1&gt;LARGE(AH$7:AH$62,1)-2,1),0)+IFERROR(IF(AI21+1&gt;LARGE(AI$7:AI$62,1)-2,1),0)</f>
        <v>2</v>
      </c>
      <c r="AP21" s="604">
        <f>IF(Z21=0,0,IF(Z21=IFERROR(LARGE(Z$7:Z$62,1),0),1,0))+IF(AA21=0,0,IF(AA21=IFERROR(LARGE(AA$7:AA$62,1),0),1,0))+IF(AB21=0,0,IF(AB21=IFERROR(LARGE(AB$7:AB$62,1),0),1,0))+IF(AC21=0,0,IF(AC21=IFERROR(LARGE(AC$7:AC$62,1),0),1,0))+IF(AD21=0,0,IF(AD21=IFERROR(LARGE(AD$7:AD$62,1),0),1,0))+IF(AE21=0,0,IF(AE21=IFERROR(LARGE(AE$7:AE$62,1),0),1,0))+IF(AF21=0,0,IF(AF21=IFERROR(LARGE(AF$7:AF$62,1),0),1,0))+IF(AG21=0,0,IF(AG21=IFERROR(LARGE(AG$7:AG$62,1),0),1,0))+IF(AH21=0,0,IF(AH21=IFERROR(LARGE(AH$7:AH$62,1),0),1,0))+IF(AI21=0,0,IF(AI21=IFERROR(LARGE(AI$7:AI$62,1),0),1,0))</f>
        <v>0</v>
      </c>
      <c r="AQ21" s="620"/>
      <c r="AR21" s="605"/>
      <c r="AS21" s="606"/>
      <c r="AT21" s="606"/>
      <c r="AU21" s="606"/>
      <c r="AV21" s="606"/>
      <c r="AW21" s="605">
        <f t="shared" si="10"/>
        <v>4.0000000000000002E-4</v>
      </c>
      <c r="AX21" s="606">
        <f t="shared" si="11"/>
        <v>17.0001</v>
      </c>
      <c r="AY21" s="606">
        <f t="shared" si="11"/>
        <v>18.0002</v>
      </c>
      <c r="AZ21" s="606">
        <f t="shared" si="11"/>
        <v>17.000299999999999</v>
      </c>
      <c r="BA21" s="606">
        <f t="shared" si="11"/>
        <v>4.0000000000000002E-4</v>
      </c>
      <c r="BB21" s="606">
        <f t="shared" si="11"/>
        <v>17.000499999999999</v>
      </c>
      <c r="BC21" s="606">
        <f t="shared" si="11"/>
        <v>14.0006</v>
      </c>
      <c r="BD21" s="606">
        <f t="shared" si="11"/>
        <v>18.000699999999998</v>
      </c>
      <c r="BE21" s="606">
        <f t="shared" si="11"/>
        <v>8.0000000000000004E-4</v>
      </c>
      <c r="BF21" s="606">
        <f t="shared" si="11"/>
        <v>8.9999999999999998E-4</v>
      </c>
      <c r="BG21" s="606">
        <f t="shared" si="11"/>
        <v>1E-3</v>
      </c>
    </row>
    <row r="22" spans="1:59" x14ac:dyDescent="0.2">
      <c r="A22" s="583">
        <f>IF(R22&gt;0,IF(Q22="v",RANK(B22,B$7:B$62,1)-COUNTBLANK(Q$7:Q$62),""),"")</f>
        <v>13</v>
      </c>
      <c r="B22" s="584">
        <f t="shared" si="0"/>
        <v>16</v>
      </c>
      <c r="C22" s="585">
        <f>IF(R22&gt;0,IF(P22="k",RANK(D22,D$7:D$62,1)-COUNTBLANK(P$7:P$62),""),"")</f>
        <v>5</v>
      </c>
      <c r="D22" s="584">
        <f t="shared" si="1"/>
        <v>16</v>
      </c>
      <c r="E22" s="586">
        <f>IF(R22&gt;0,IF(N22="m",RANK(F22,F$7:F$62,1)-COUNTBLANK(N$7:N$62),""),"")</f>
        <v>15</v>
      </c>
      <c r="F22" s="584">
        <f t="shared" si="2"/>
        <v>16</v>
      </c>
      <c r="G22" s="587" t="str">
        <f>IF(R22&gt;0,IF(M22="n",RANK(H22,H$7:H$62,1)-COUNTBLANK(M$7:M$62),""),"")</f>
        <v/>
      </c>
      <c r="H22" s="584">
        <f t="shared" si="3"/>
        <v>-984</v>
      </c>
      <c r="I22" s="588" t="str">
        <f>IF(R22&gt;0,IF(O22="j",RANK(J22,J$7:J$62,1)-COUNTBLANK(O$7:O$62),""),"")</f>
        <v/>
      </c>
      <c r="J22" s="589">
        <f t="shared" si="4"/>
        <v>-984</v>
      </c>
      <c r="K22" s="548">
        <f>IF(R22&gt;0,RANK(U22,U$7:U$62,1),"")</f>
        <v>16</v>
      </c>
      <c r="L22" s="590" t="s">
        <v>15</v>
      </c>
      <c r="M22" s="591"/>
      <c r="N22" s="592" t="str">
        <f t="shared" si="13"/>
        <v>m</v>
      </c>
      <c r="O22" s="593"/>
      <c r="P22" s="594" t="s">
        <v>320</v>
      </c>
      <c r="Q22" s="595" t="s">
        <v>319</v>
      </c>
      <c r="R22" s="596">
        <f>(IF(COUNT(Z22,AA22,AB22,AC22,AD22,AE22,AF22,AG22,AH22,AI22)&lt;9,SUM(Z22,AA22,AB22,AC22,AD22,AE22,AF22,AG22,AH22,AI22),SUM(LARGE((Z22,AA22,AB22,AC22,AD22,AE22,AF22,AG22,AH22,AI22),{1;2;3;4;5;6;7;8;9}))))</f>
        <v>90</v>
      </c>
      <c r="S22" s="597" t="str">
        <f>INDEX(ETAPP!B$1:B$32,MATCH(COUNTIF(Z22:AI22,PVO!A$1),ETAPP!A$1:A$32,0))&amp;INDEX(ETAPP!B$1:B$32,MATCH(COUNTIF(Z22:AI22,PVO!A$2),ETAPP!A$1:A$32,0))&amp;INDEX(ETAPP!B$1:B$32,MATCH(COUNTIF(Z22:AI22,PVO!A$3),ETAPP!A$1:A$32,0))&amp;INDEX(ETAPP!B$1:B$32,MATCH(COUNTIF(Z22:AI22,PVO!A$4),ETAPP!A$1:A$32,0))&amp;INDEX(ETAPP!B$1:B$32,MATCH(COUNTIF(Z22:AI22,PVO!A$5),ETAPP!A$1:A$32,0))&amp;INDEX(ETAPP!B$1:B$32,MATCH(COUNTIF(Z22:AI22,PVO!A$6),ETAPP!A$1:A$32,0))&amp;INDEX(ETAPP!B$1:B$32,MATCH(COUNTIF(Z22:AI22,PVO!A$7),ETAPP!A$1:A$32,0))&amp;INDEX(ETAPP!B$1:B$32,MATCH(COUNTIF(Z22:AI22,PVO!A$8),ETAPP!A$1:A$32,0))&amp;INDEX(ETAPP!B$1:B$32,MATCH(COUNTIF(Z22:AI22,PVO!A$9),ETAPP!A$1:A$32,0))&amp;INDEX(ETAPP!B$1:B$32,MATCH(COUNTIF(Z22:AI22,PVO!A$10),ETAPP!A$1:A$32,0))&amp;INDEX(ETAPP!B$1:B$32,MATCH(COUNTIF(Z22:AI22,PVO!A$11),ETAPP!A$1:A$32,0))&amp;INDEX(ETAPP!B$1:B$32,MATCH(COUNTIF(Z22:AI22,PVO!A$12),ETAPP!A$1:A$32,0))&amp;INDEX(ETAPP!B$1:B$32,MATCH(COUNTIF(Z22:AI22,PVO!A$13),ETAPP!A$1:A$32,0))&amp;INDEX(ETAPP!B$1:B$32,MATCH(COUNTIF(Z22:AI22,PVO!A$14),ETAPP!A$1:A$32,0))&amp;INDEX(ETAPP!B$1:B$32,MATCH(COUNTIF(Z22:AI22,PVO!A$15),ETAPP!A$1:A$32,0))&amp;INDEX(ETAPP!B$1:B$32,MATCH(COUNTIF(Z22:AI22,PVO!A$16),ETAPP!A$1:A$32,0))&amp;INDEX(ETAPP!B$1:B$32,MATCH(COUNTIF(Z22:AI22,PVO!A$17),ETAPP!A$1:A$32,0))&amp;INDEX(ETAPP!B$1:B$32,MATCH(COUNTIF(Z22:AI22,PVO!A$18),ETAPP!A$1:A$32,0))&amp;INDEX(ETAPP!B$1:B$32,MATCH(COUNTIF(Z22:AI22,PVO!A$19),ETAPP!A$1:A$32,0))</f>
        <v>0B00A000C0000000000</v>
      </c>
      <c r="T22" s="597" t="str">
        <f t="shared" si="5"/>
        <v>090,0-0B00A000C0000000000</v>
      </c>
      <c r="U22" s="597">
        <f>COUNTIF(T$7:T$62,"&gt;="&amp;T22)</f>
        <v>16</v>
      </c>
      <c r="V22" s="597">
        <f>COUNTIF(L$7:L$62,"&gt;="&amp;L22)</f>
        <v>37</v>
      </c>
      <c r="W22" s="597" t="str">
        <f t="shared" si="6"/>
        <v>090,0-0B00A000C0000000000-037</v>
      </c>
      <c r="X22" s="597">
        <f>COUNTIF(W$7:W$62,"&gt;="&amp;W22)</f>
        <v>16</v>
      </c>
      <c r="Y22" s="598">
        <f>RANK(X22,X$7:X$62,0)</f>
        <v>41</v>
      </c>
      <c r="Z22" s="599" t="str">
        <f>IFERROR(INDEX('V1'!C$300:C$400,MATCH("*"&amp;L22&amp;"*",'V1'!B$300:B$400,0)),"  ")</f>
        <v xml:space="preserve">  </v>
      </c>
      <c r="AA22" s="599" t="str">
        <f>IFERROR(INDEX('V2'!C$300:C$400,MATCH("*"&amp;L22&amp;"*",'V2'!B$300:B$400,0)),"  ")</f>
        <v xml:space="preserve">  </v>
      </c>
      <c r="AB22" s="599">
        <f>IFERROR(INDEX('V3'!C$300:C$400,MATCH("*"&amp;L22&amp;"*",'V3'!B$300:B$400,0)),"  ")</f>
        <v>19</v>
      </c>
      <c r="AC22" s="599">
        <f>IFERROR(INDEX('V4'!C$300:C$400,MATCH("*"&amp;L22&amp;"*",'V4'!B$300:B$400,0)),"  ")</f>
        <v>12</v>
      </c>
      <c r="AD22" s="599">
        <f>IFERROR(INDEX('V5'!C$300:C$400,MATCH("*"&amp;L22&amp;"*",'V5'!B$300:B$400,0)),"  ")</f>
        <v>12</v>
      </c>
      <c r="AE22" s="599" t="str">
        <f>IFERROR(INDEX('V6'!C$300:C$400,MATCH("*"&amp;L22&amp;"*",'V6'!B$300:B$400,0)),"  ")</f>
        <v xml:space="preserve">  </v>
      </c>
      <c r="AF22" s="599">
        <f>IFERROR(INDEX('V7'!C$300:C$400,MATCH("*"&amp;L22&amp;"*",'V7'!B$300:B$400,0)),"  ")</f>
        <v>16</v>
      </c>
      <c r="AG22" s="599">
        <f>IFERROR(INDEX('V8'!C$300:C$400,MATCH("*"&amp;L22&amp;"*",'V8'!B$300:B$400,0)),"  ")</f>
        <v>19</v>
      </c>
      <c r="AH22" s="599" t="str">
        <f>IFERROR(INDEX('V9'!C$300:C$400,MATCH("*"&amp;L22&amp;"*",'V9'!B$300:B$400,0)),"  ")</f>
        <v xml:space="preserve">  </v>
      </c>
      <c r="AI22" s="599">
        <f>IFERROR(INDEX('V10'!C$300:C$400,MATCH("*"&amp;L22&amp;"*",'V10'!B$300:B$400,0)),"  ")</f>
        <v>12</v>
      </c>
      <c r="AJ22" s="600">
        <f t="shared" si="7"/>
        <v>1</v>
      </c>
      <c r="AK22" s="600">
        <f t="shared" si="8"/>
        <v>41</v>
      </c>
      <c r="AL22" s="601" t="str">
        <f>IFERROR("edasi "&amp;RANK(AK22,AK$7:AK$62,0),K22)</f>
        <v>edasi 16</v>
      </c>
      <c r="AM22" s="602" t="str">
        <f>IFERROR(INDEX('V-fin'!A$300:A$400,MATCH("*"&amp;L22&amp;"*",'V-fin'!B$300:B$400,0)),"  ")</f>
        <v xml:space="preserve">  </v>
      </c>
      <c r="AN22" s="603">
        <f t="shared" si="9"/>
        <v>6</v>
      </c>
      <c r="AO22" s="604">
        <f>IFERROR(IF(Z22+1&gt;LARGE(Z$7:Z$62,1)-2,1),0)+IFERROR(IF(AA22+1&gt;LARGE(AA$7:AA$62,1)-2,1),0)+IFERROR(IF(AB22+1&gt;LARGE(AB$7:AB$62,1)-2,1),0)+IFERROR(IF(AC22+1&gt;LARGE(AC$7:AC$62,1)-2,1),0)+IFERROR(IF(AD22+1&gt;LARGE(AD$7:AD$62,1)-2,1),0)+IFERROR(IF(AE22+1&gt;LARGE(AE$7:AE$62,1)-2,1),0)+IFERROR(IF(AF22+1&gt;LARGE(AF$7:AF$62,1)-2,1),0)+IFERROR(IF(AG22+1&gt;LARGE(AG$7:AG$62,1)-2,1),0)+IFERROR(IF(AH22+1&gt;LARGE(AH$7:AH$62,1)-2,1),0)+IFERROR(IF(AI22+1&gt;LARGE(AI$7:AI$62,1)-2,1),0)</f>
        <v>2</v>
      </c>
      <c r="AP22" s="604">
        <f>IF(Z22=0,0,IF(Z22=IFERROR(LARGE(Z$7:Z$62,1),0),1,0))+IF(AA22=0,0,IF(AA22=IFERROR(LARGE(AA$7:AA$62,1),0),1,0))+IF(AB22=0,0,IF(AB22=IFERROR(LARGE(AB$7:AB$62,1),0),1,0))+IF(AC22=0,0,IF(AC22=IFERROR(LARGE(AC$7:AC$62,1),0),1,0))+IF(AD22=0,0,IF(AD22=IFERROR(LARGE(AD$7:AD$62,1),0),1,0))+IF(AE22=0,0,IF(AE22=IFERROR(LARGE(AE$7:AE$62,1),0),1,0))+IF(AF22=0,0,IF(AF22=IFERROR(LARGE(AF$7:AF$62,1),0),1,0))+IF(AG22=0,0,IF(AG22=IFERROR(LARGE(AG$7:AG$62,1),0),1,0))+IF(AH22=0,0,IF(AH22=IFERROR(LARGE(AH$7:AH$62,1),0),1,0))+IF(AI22=0,0,IF(AI22=IFERROR(LARGE(AI$7:AI$62,1),0),1,0))</f>
        <v>0</v>
      </c>
      <c r="AQ22" s="620"/>
      <c r="AR22" s="605"/>
      <c r="AS22" s="606"/>
      <c r="AT22" s="606"/>
      <c r="AU22" s="606"/>
      <c r="AV22" s="606"/>
      <c r="AW22" s="605">
        <f t="shared" si="10"/>
        <v>1E-4</v>
      </c>
      <c r="AX22" s="606">
        <f t="shared" si="11"/>
        <v>1E-4</v>
      </c>
      <c r="AY22" s="606">
        <f t="shared" si="11"/>
        <v>2.0000000000000001E-4</v>
      </c>
      <c r="AZ22" s="606">
        <f t="shared" si="11"/>
        <v>19.000299999999999</v>
      </c>
      <c r="BA22" s="606">
        <f t="shared" si="11"/>
        <v>12.000400000000001</v>
      </c>
      <c r="BB22" s="606">
        <f t="shared" si="11"/>
        <v>12.000500000000001</v>
      </c>
      <c r="BC22" s="606">
        <f t="shared" si="11"/>
        <v>5.9999999999999995E-4</v>
      </c>
      <c r="BD22" s="606">
        <f t="shared" si="11"/>
        <v>16.000699999999998</v>
      </c>
      <c r="BE22" s="606">
        <f t="shared" si="11"/>
        <v>19.000800000000002</v>
      </c>
      <c r="BF22" s="606">
        <f t="shared" si="11"/>
        <v>8.9999999999999998E-4</v>
      </c>
      <c r="BG22" s="606">
        <f t="shared" si="11"/>
        <v>12.000999999999999</v>
      </c>
    </row>
    <row r="23" spans="1:59" x14ac:dyDescent="0.2">
      <c r="A23" s="583">
        <f>IF(R23&gt;0,IF(Q23="v",RANK(B23,B$7:B$62,1)-COUNTBLANK(Q$7:Q$62),""),"")</f>
        <v>14</v>
      </c>
      <c r="B23" s="584">
        <f t="shared" si="0"/>
        <v>17</v>
      </c>
      <c r="C23" s="585">
        <f>IF(R23&gt;0,IF(P23="k",RANK(D23,D$7:D$62,1)-COUNTBLANK(P$7:P$62),""),"")</f>
        <v>6</v>
      </c>
      <c r="D23" s="584">
        <f t="shared" si="1"/>
        <v>17</v>
      </c>
      <c r="E23" s="586">
        <f>IF(R23&gt;0,IF(N23="m",RANK(F23,F$7:F$62,1)-COUNTBLANK(N$7:N$62),""),"")</f>
        <v>16</v>
      </c>
      <c r="F23" s="584">
        <f t="shared" si="2"/>
        <v>17</v>
      </c>
      <c r="G23" s="587" t="str">
        <f>IF(R23&gt;0,IF(M23="n",RANK(H23,H$7:H$62,1)-COUNTBLANK(M$7:M$62),""),"")</f>
        <v/>
      </c>
      <c r="H23" s="584">
        <f t="shared" si="3"/>
        <v>-983</v>
      </c>
      <c r="I23" s="588" t="str">
        <f>IF(R23&gt;0,IF(O23="j",RANK(J23,J$7:J$62,1)-COUNTBLANK(O$7:O$62),""),"")</f>
        <v/>
      </c>
      <c r="J23" s="589">
        <f t="shared" si="4"/>
        <v>-983</v>
      </c>
      <c r="K23" s="548">
        <f>IF(R23&gt;0,RANK(U23,U$7:U$62,1),"")</f>
        <v>17</v>
      </c>
      <c r="L23" s="590" t="s">
        <v>255</v>
      </c>
      <c r="M23" s="591"/>
      <c r="N23" s="592" t="str">
        <f t="shared" si="13"/>
        <v>m</v>
      </c>
      <c r="O23" s="593"/>
      <c r="P23" s="594" t="s">
        <v>320</v>
      </c>
      <c r="Q23" s="595" t="s">
        <v>319</v>
      </c>
      <c r="R23" s="596">
        <f>(IF(COUNT(Z23,AA23,AB23,AC23,AD23,AE23,AF23,AG23,AH23,AI23)&lt;9,SUM(Z23,AA23,AB23,AC23,AD23,AE23,AF23,AG23,AH23,AI23),SUM(LARGE((Z23,AA23,AB23,AC23,AD23,AE23,AF23,AG23,AH23,AI23),{1;2;3;4;5;6;7;8;9}))))</f>
        <v>85</v>
      </c>
      <c r="S23" s="597" t="str">
        <f>INDEX(ETAPP!B$1:B$32,MATCH(COUNTIF(Z23:AI23,PVO!A$1),ETAPP!A$1:A$32,0))&amp;INDEX(ETAPP!B$1:B$32,MATCH(COUNTIF(Z23:AI23,PVO!A$2),ETAPP!A$1:A$32,0))&amp;INDEX(ETAPP!B$1:B$32,MATCH(COUNTIF(Z23:AI23,PVO!A$3),ETAPP!A$1:A$32,0))&amp;INDEX(ETAPP!B$1:B$32,MATCH(COUNTIF(Z23:AI23,PVO!A$4),ETAPP!A$1:A$32,0))&amp;INDEX(ETAPP!B$1:B$32,MATCH(COUNTIF(Z23:AI23,PVO!A$5),ETAPP!A$1:A$32,0))&amp;INDEX(ETAPP!B$1:B$32,MATCH(COUNTIF(Z23:AI23,PVO!A$6),ETAPP!A$1:A$32,0))&amp;INDEX(ETAPP!B$1:B$32,MATCH(COUNTIF(Z23:AI23,PVO!A$7),ETAPP!A$1:A$32,0))&amp;INDEX(ETAPP!B$1:B$32,MATCH(COUNTIF(Z23:AI23,PVO!A$8),ETAPP!A$1:A$32,0))&amp;INDEX(ETAPP!B$1:B$32,MATCH(COUNTIF(Z23:AI23,PVO!A$9),ETAPP!A$1:A$32,0))&amp;INDEX(ETAPP!B$1:B$32,MATCH(COUNTIF(Z23:AI23,PVO!A$10),ETAPP!A$1:A$32,0))&amp;INDEX(ETAPP!B$1:B$32,MATCH(COUNTIF(Z23:AI23,PVO!A$11),ETAPP!A$1:A$32,0))&amp;INDEX(ETAPP!B$1:B$32,MATCH(COUNTIF(Z23:AI23,PVO!A$12),ETAPP!A$1:A$32,0))&amp;INDEX(ETAPP!B$1:B$32,MATCH(COUNTIF(Z23:AI23,PVO!A$13),ETAPP!A$1:A$32,0))&amp;INDEX(ETAPP!B$1:B$32,MATCH(COUNTIF(Z23:AI23,PVO!A$14),ETAPP!A$1:A$32,0))&amp;INDEX(ETAPP!B$1:B$32,MATCH(COUNTIF(Z23:AI23,PVO!A$15),ETAPP!A$1:A$32,0))&amp;INDEX(ETAPP!B$1:B$32,MATCH(COUNTIF(Z23:AI23,PVO!A$16),ETAPP!A$1:A$32,0))&amp;INDEX(ETAPP!B$1:B$32,MATCH(COUNTIF(Z23:AI23,PVO!A$17),ETAPP!A$1:A$32,0))&amp;INDEX(ETAPP!B$1:B$32,MATCH(COUNTIF(Z23:AI23,PVO!A$18),ETAPP!A$1:A$32,0))&amp;INDEX(ETAPP!B$1:B$32,MATCH(COUNTIF(Z23:AI23,PVO!A$19),ETAPP!A$1:A$32,0))</f>
        <v>00A000AA0ABA0000000</v>
      </c>
      <c r="T23" s="597" t="str">
        <f t="shared" si="5"/>
        <v>085,0-00A000AA0ABA0000000</v>
      </c>
      <c r="U23" s="597">
        <f>COUNTIF(T$7:T$62,"&gt;="&amp;T23)</f>
        <v>17</v>
      </c>
      <c r="V23" s="597">
        <f>COUNTIF(L$7:L$62,"&gt;="&amp;L23)</f>
        <v>40</v>
      </c>
      <c r="W23" s="597" t="str">
        <f t="shared" si="6"/>
        <v>085,0-00A000AA0ABA0000000-040</v>
      </c>
      <c r="X23" s="597">
        <f>COUNTIF(W$7:W$62,"&gt;="&amp;W23)</f>
        <v>17</v>
      </c>
      <c r="Y23" s="598">
        <f>RANK(X23,X$7:X$62,0)</f>
        <v>40</v>
      </c>
      <c r="Z23" s="599">
        <f>IFERROR(INDEX('V1'!C$300:C$400,MATCH("*"&amp;L23&amp;"*",'V1'!B$300:B$400,0)),"  ")</f>
        <v>18</v>
      </c>
      <c r="AA23" s="599">
        <f>IFERROR(INDEX('V2'!C$300:C$400,MATCH("*"&amp;L23&amp;"*",'V2'!B$300:B$400,0)),"  ")</f>
        <v>10</v>
      </c>
      <c r="AB23" s="599">
        <f>IFERROR(INDEX('V3'!C$300:C$400,MATCH("*"&amp;L23&amp;"*",'V3'!B$300:B$400,0)),"  ")</f>
        <v>13</v>
      </c>
      <c r="AC23" s="599" t="str">
        <f>IFERROR(INDEX('V4'!C$300:C$400,MATCH("*"&amp;L23&amp;"*",'V4'!B$300:B$400,0)),"  ")</f>
        <v xml:space="preserve">  </v>
      </c>
      <c r="AD23" s="599" t="str">
        <f>IFERROR(INDEX('V5'!C$300:C$400,MATCH("*"&amp;L23&amp;"*",'V5'!B$300:B$400,0)),"  ")</f>
        <v xml:space="preserve">  </v>
      </c>
      <c r="AE23" s="599">
        <f>IFERROR(INDEX('V6'!C$300:C$400,MATCH("*"&amp;L23&amp;"*",'V6'!B$300:B$400,0)),"  ")</f>
        <v>9</v>
      </c>
      <c r="AF23" s="599" t="str">
        <f>IFERROR(INDEX('V7'!C$300:C$400,MATCH("*"&amp;L23&amp;"*",'V7'!B$300:B$400,0)),"  ")</f>
        <v xml:space="preserve">  </v>
      </c>
      <c r="AG23" s="599">
        <f>IFERROR(INDEX('V8'!C$300:C$400,MATCH("*"&amp;L23&amp;"*",'V8'!B$300:B$400,0)),"  ")</f>
        <v>10</v>
      </c>
      <c r="AH23" s="599">
        <f>IFERROR(INDEX('V9'!C$300:C$400,MATCH("*"&amp;L23&amp;"*",'V9'!B$300:B$400,0)),"  ")</f>
        <v>11</v>
      </c>
      <c r="AI23" s="599">
        <f>IFERROR(INDEX('V10'!C$300:C$400,MATCH("*"&amp;L23&amp;"*",'V10'!B$300:B$400,0)),"  ")</f>
        <v>14</v>
      </c>
      <c r="AJ23" s="600">
        <f t="shared" si="7"/>
        <v>1</v>
      </c>
      <c r="AK23" s="600">
        <f t="shared" si="8"/>
        <v>40</v>
      </c>
      <c r="AL23" s="601" t="str">
        <f>IFERROR("edasi "&amp;RANK(AK23,AK$7:AK$62,0),K23)</f>
        <v>edasi 17</v>
      </c>
      <c r="AM23" s="602">
        <f>IFERROR(INDEX('V-fin'!A$300:A$400,MATCH("*"&amp;L23&amp;"*",'V-fin'!B$300:B$400,0)),"  ")</f>
        <v>6</v>
      </c>
      <c r="AN23" s="603">
        <f t="shared" si="9"/>
        <v>7</v>
      </c>
      <c r="AO23" s="604">
        <f>IFERROR(IF(Z23+1&gt;LARGE(Z$7:Z$62,1)-2,1),0)+IFERROR(IF(AA23+1&gt;LARGE(AA$7:AA$62,1)-2,1),0)+IFERROR(IF(AB23+1&gt;LARGE(AB$7:AB$62,1)-2,1),0)+IFERROR(IF(AC23+1&gt;LARGE(AC$7:AC$62,1)-2,1),0)+IFERROR(IF(AD23+1&gt;LARGE(AD$7:AD$62,1)-2,1),0)+IFERROR(IF(AE23+1&gt;LARGE(AE$7:AE$62,1)-2,1),0)+IFERROR(IF(AF23+1&gt;LARGE(AF$7:AF$62,1)-2,1),0)+IFERROR(IF(AG23+1&gt;LARGE(AG$7:AG$62,1)-2,1),0)+IFERROR(IF(AH23+1&gt;LARGE(AH$7:AH$62,1)-2,1),0)+IFERROR(IF(AI23+1&gt;LARGE(AI$7:AI$62,1)-2,1),0)</f>
        <v>1</v>
      </c>
      <c r="AP23" s="604">
        <f>IF(Z23=0,0,IF(Z23=IFERROR(LARGE(Z$7:Z$62,1),0),1,0))+IF(AA23=0,0,IF(AA23=IFERROR(LARGE(AA$7:AA$62,1),0),1,0))+IF(AB23=0,0,IF(AB23=IFERROR(LARGE(AB$7:AB$62,1),0),1,0))+IF(AC23=0,0,IF(AC23=IFERROR(LARGE(AC$7:AC$62,1),0),1,0))+IF(AD23=0,0,IF(AD23=IFERROR(LARGE(AD$7:AD$62,1),0),1,0))+IF(AE23=0,0,IF(AE23=IFERROR(LARGE(AE$7:AE$62,1),0),1,0))+IF(AF23=0,0,IF(AF23=IFERROR(LARGE(AF$7:AF$62,1),0),1,0))+IF(AG23=0,0,IF(AG23=IFERROR(LARGE(AG$7:AG$62,1),0),1,0))+IF(AH23=0,0,IF(AH23=IFERROR(LARGE(AH$7:AH$62,1),0),1,0))+IF(AI23=0,0,IF(AI23=IFERROR(LARGE(AI$7:AI$62,1),0),1,0))</f>
        <v>0</v>
      </c>
      <c r="AQ23" s="620"/>
      <c r="AR23" s="605"/>
      <c r="AS23" s="606"/>
      <c r="AT23" s="606"/>
      <c r="AU23" s="606"/>
      <c r="AV23" s="606"/>
      <c r="AW23" s="605">
        <f t="shared" si="10"/>
        <v>4.0000000000000002E-4</v>
      </c>
      <c r="AX23" s="606">
        <f t="shared" si="11"/>
        <v>18.0001</v>
      </c>
      <c r="AY23" s="606">
        <f t="shared" si="11"/>
        <v>10.0002</v>
      </c>
      <c r="AZ23" s="606">
        <f t="shared" si="11"/>
        <v>13.000299999999999</v>
      </c>
      <c r="BA23" s="606">
        <f t="shared" si="11"/>
        <v>4.0000000000000002E-4</v>
      </c>
      <c r="BB23" s="606">
        <f t="shared" si="11"/>
        <v>5.0000000000000001E-4</v>
      </c>
      <c r="BC23" s="606">
        <f t="shared" si="11"/>
        <v>9.0006000000000004</v>
      </c>
      <c r="BD23" s="606">
        <f t="shared" si="11"/>
        <v>6.9999999999999999E-4</v>
      </c>
      <c r="BE23" s="606">
        <f t="shared" si="11"/>
        <v>10.0008</v>
      </c>
      <c r="BF23" s="606">
        <f t="shared" si="11"/>
        <v>11.0009</v>
      </c>
      <c r="BG23" s="606">
        <f t="shared" si="11"/>
        <v>14.000999999999999</v>
      </c>
    </row>
    <row r="24" spans="1:59" x14ac:dyDescent="0.2">
      <c r="A24" s="583">
        <f>IF(R24&gt;0,IF(Q24="v",RANK(B24,B$7:B$62,1)-COUNTBLANK(Q$7:Q$62),""),"")</f>
        <v>15</v>
      </c>
      <c r="B24" s="584">
        <f t="shared" si="0"/>
        <v>18</v>
      </c>
      <c r="C24" s="585" t="str">
        <f>IF(R24&gt;0,IF(P24="k",RANK(D24,D$7:D$62,1)-COUNTBLANK(P$7:P$62),""),"")</f>
        <v/>
      </c>
      <c r="D24" s="584">
        <f t="shared" si="1"/>
        <v>-982</v>
      </c>
      <c r="E24" s="586">
        <f>IF(R24&gt;0,IF(N24="m",RANK(F24,F$7:F$62,1)-COUNTBLANK(N$7:N$62),""),"")</f>
        <v>17</v>
      </c>
      <c r="F24" s="584">
        <f t="shared" si="2"/>
        <v>18</v>
      </c>
      <c r="G24" s="587" t="str">
        <f>IF(R24&gt;0,IF(M24="n",RANK(H24,H$7:H$62,1)-COUNTBLANK(M$7:M$62),""),"")</f>
        <v/>
      </c>
      <c r="H24" s="584">
        <f t="shared" si="3"/>
        <v>-982</v>
      </c>
      <c r="I24" s="588" t="str">
        <f>IF(R24&gt;0,IF(O24="j",RANK(J24,J$7:J$62,1)-COUNTBLANK(O$7:O$62),""),"")</f>
        <v/>
      </c>
      <c r="J24" s="589">
        <f t="shared" si="4"/>
        <v>-982</v>
      </c>
      <c r="K24" s="548">
        <f>IF(R24&gt;0,RANK(U24,U$7:U$62,1),"")</f>
        <v>18</v>
      </c>
      <c r="L24" s="607" t="s">
        <v>227</v>
      </c>
      <c r="M24" s="591"/>
      <c r="N24" s="592" t="str">
        <f t="shared" si="13"/>
        <v>m</v>
      </c>
      <c r="O24" s="593"/>
      <c r="P24" s="594"/>
      <c r="Q24" s="595" t="s">
        <v>319</v>
      </c>
      <c r="R24" s="596">
        <f>(IF(COUNT(Z24,AA24,AB24,AC24,AD24,AE24,AF24,AG24,AH24,AI24)&lt;9,SUM(Z24,AA24,AB24,AC24,AD24,AE24,AF24,AG24,AH24,AI24),SUM(LARGE((Z24,AA24,AB24,AC24,AD24,AE24,AF24,AG24,AH24,AI24),{1;2;3;4;5;6;7;8;9}))))</f>
        <v>82</v>
      </c>
      <c r="S24" s="597" t="str">
        <f>INDEX(ETAPP!B$1:B$32,MATCH(COUNTIF(Z24:AI24,PVO!A$1),ETAPP!A$1:A$32,0))&amp;INDEX(ETAPP!B$1:B$32,MATCH(COUNTIF(Z24:AI24,PVO!A$2),ETAPP!A$1:A$32,0))&amp;INDEX(ETAPP!B$1:B$32,MATCH(COUNTIF(Z24:AI24,PVO!A$3),ETAPP!A$1:A$32,0))&amp;INDEX(ETAPP!B$1:B$32,MATCH(COUNTIF(Z24:AI24,PVO!A$4),ETAPP!A$1:A$32,0))&amp;INDEX(ETAPP!B$1:B$32,MATCH(COUNTIF(Z24:AI24,PVO!A$5),ETAPP!A$1:A$32,0))&amp;INDEX(ETAPP!B$1:B$32,MATCH(COUNTIF(Z24:AI24,PVO!A$6),ETAPP!A$1:A$32,0))&amp;INDEX(ETAPP!B$1:B$32,MATCH(COUNTIF(Z24:AI24,PVO!A$7),ETAPP!A$1:A$32,0))&amp;INDEX(ETAPP!B$1:B$32,MATCH(COUNTIF(Z24:AI24,PVO!A$8),ETAPP!A$1:A$32,0))&amp;INDEX(ETAPP!B$1:B$32,MATCH(COUNTIF(Z24:AI24,PVO!A$9),ETAPP!A$1:A$32,0))&amp;INDEX(ETAPP!B$1:B$32,MATCH(COUNTIF(Z24:AI24,PVO!A$10),ETAPP!A$1:A$32,0))&amp;INDEX(ETAPP!B$1:B$32,MATCH(COUNTIF(Z24:AI24,PVO!A$11),ETAPP!A$1:A$32,0))&amp;INDEX(ETAPP!B$1:B$32,MATCH(COUNTIF(Z24:AI24,PVO!A$12),ETAPP!A$1:A$32,0))&amp;INDEX(ETAPP!B$1:B$32,MATCH(COUNTIF(Z24:AI24,PVO!A$13),ETAPP!A$1:A$32,0))&amp;INDEX(ETAPP!B$1:B$32,MATCH(COUNTIF(Z24:AI24,PVO!A$14),ETAPP!A$1:A$32,0))&amp;INDEX(ETAPP!B$1:B$32,MATCH(COUNTIF(Z24:AI24,PVO!A$15),ETAPP!A$1:A$32,0))&amp;INDEX(ETAPP!B$1:B$32,MATCH(COUNTIF(Z24:AI24,PVO!A$16),ETAPP!A$1:A$32,0))&amp;INDEX(ETAPP!B$1:B$32,MATCH(COUNTIF(Z24:AI24,PVO!A$17),ETAPP!A$1:A$32,0))&amp;INDEX(ETAPP!B$1:B$32,MATCH(COUNTIF(Z24:AI24,PVO!A$18),ETAPP!A$1:A$32,0))&amp;INDEX(ETAPP!B$1:B$32,MATCH(COUNTIF(Z24:AI24,PVO!A$19),ETAPP!A$1:A$32,0))</f>
        <v>0000A0CA0A000000000</v>
      </c>
      <c r="T24" s="597" t="str">
        <f t="shared" si="5"/>
        <v>082,0-0000A0CA0A000000000</v>
      </c>
      <c r="U24" s="597">
        <f>COUNTIF(T$7:T$62,"&gt;="&amp;T24)</f>
        <v>18</v>
      </c>
      <c r="V24" s="597">
        <f>COUNTIF(L$7:L$62,"&gt;="&amp;L24)</f>
        <v>53</v>
      </c>
      <c r="W24" s="597" t="str">
        <f t="shared" si="6"/>
        <v>082,0-0000A0CA0A000000000-053</v>
      </c>
      <c r="X24" s="597">
        <f>COUNTIF(W$7:W$62,"&gt;="&amp;W24)</f>
        <v>18</v>
      </c>
      <c r="Y24" s="598">
        <f>RANK(X24,X$7:X$62,0)</f>
        <v>39</v>
      </c>
      <c r="Z24" s="599">
        <f>IFERROR(INDEX('V1'!C$300:C$400,MATCH("*"&amp;L24&amp;"*",'V1'!B$300:B$400,0)),"  ")</f>
        <v>16</v>
      </c>
      <c r="AA24" s="599">
        <f>IFERROR(INDEX('V2'!C$300:C$400,MATCH("*"&amp;L24&amp;"*",'V2'!B$300:B$400,0)),"  ")</f>
        <v>14</v>
      </c>
      <c r="AB24" s="599" t="str">
        <f>IFERROR(INDEX('V3'!C$300:C$400,MATCH("*"&amp;L24&amp;"*",'V3'!B$300:B$400,0)),"  ")</f>
        <v xml:space="preserve">  </v>
      </c>
      <c r="AC24" s="599">
        <f>IFERROR(INDEX('V4'!C$300:C$400,MATCH("*"&amp;L24&amp;"*",'V4'!B$300:B$400,0)),"  ")</f>
        <v>14</v>
      </c>
      <c r="AD24" s="599">
        <f>IFERROR(INDEX('V5'!C$300:C$400,MATCH("*"&amp;L24&amp;"*",'V5'!B$300:B$400,0)),"  ")</f>
        <v>14</v>
      </c>
      <c r="AE24" s="599">
        <f>IFERROR(INDEX('V6'!C$300:C$400,MATCH("*"&amp;L24&amp;"*",'V6'!B$300:B$400,0)),"  ")</f>
        <v>11</v>
      </c>
      <c r="AF24" s="599" t="str">
        <f>IFERROR(INDEX('V7'!C$300:C$400,MATCH("*"&amp;L24&amp;"*",'V7'!B$300:B$400,0)),"  ")</f>
        <v xml:space="preserve">  </v>
      </c>
      <c r="AG24" s="599">
        <f>IFERROR(INDEX('V8'!C$300:C$400,MATCH("*"&amp;L24&amp;"*",'V8'!B$300:B$400,0)),"  ")</f>
        <v>13</v>
      </c>
      <c r="AH24" s="599" t="str">
        <f>IFERROR(INDEX('V9'!C$300:C$400,MATCH("*"&amp;L24&amp;"*",'V9'!B$300:B$400,0)),"  ")</f>
        <v xml:space="preserve">  </v>
      </c>
      <c r="AI24" s="599" t="str">
        <f>IFERROR(INDEX('V10'!C$300:C$400,MATCH("*"&amp;L24&amp;"*",'V10'!B$300:B$400,0)),"  ")</f>
        <v xml:space="preserve">  </v>
      </c>
      <c r="AJ24" s="600">
        <f t="shared" si="7"/>
        <v>1</v>
      </c>
      <c r="AK24" s="600">
        <f t="shared" si="8"/>
        <v>39</v>
      </c>
      <c r="AL24" s="601" t="str">
        <f>IFERROR("edasi "&amp;RANK(AK24,AK$7:AK$62,0),K24)</f>
        <v>edasi 18</v>
      </c>
      <c r="AM24" s="602">
        <f>IFERROR(INDEX('V-fin'!A$300:A$400,MATCH("*"&amp;L24&amp;"*",'V-fin'!B$300:B$400,0)),"  ")</f>
        <v>13</v>
      </c>
      <c r="AN24" s="603">
        <f t="shared" si="9"/>
        <v>6</v>
      </c>
      <c r="AO24" s="604">
        <f>IFERROR(IF(Z24+1&gt;LARGE(Z$7:Z$62,1)-2,1),0)+IFERROR(IF(AA24+1&gt;LARGE(AA$7:AA$62,1)-2,1),0)+IFERROR(IF(AB24+1&gt;LARGE(AB$7:AB$62,1)-2,1),0)+IFERROR(IF(AC24+1&gt;LARGE(AC$7:AC$62,1)-2,1),0)+IFERROR(IF(AD24+1&gt;LARGE(AD$7:AD$62,1)-2,1),0)+IFERROR(IF(AE24+1&gt;LARGE(AE$7:AE$62,1)-2,1),0)+IFERROR(IF(AF24+1&gt;LARGE(AF$7:AF$62,1)-2,1),0)+IFERROR(IF(AG24+1&gt;LARGE(AG$7:AG$62,1)-2,1),0)+IFERROR(IF(AH24+1&gt;LARGE(AH$7:AH$62,1)-2,1),0)+IFERROR(IF(AI24+1&gt;LARGE(AI$7:AI$62,1)-2,1),0)</f>
        <v>0</v>
      </c>
      <c r="AP24" s="604">
        <f>IF(Z24=0,0,IF(Z24=IFERROR(LARGE(Z$7:Z$62,1),0),1,0))+IF(AA24=0,0,IF(AA24=IFERROR(LARGE(AA$7:AA$62,1),0),1,0))+IF(AB24=0,0,IF(AB24=IFERROR(LARGE(AB$7:AB$62,1),0),1,0))+IF(AC24=0,0,IF(AC24=IFERROR(LARGE(AC$7:AC$62,1),0),1,0))+IF(AD24=0,0,IF(AD24=IFERROR(LARGE(AD$7:AD$62,1),0),1,0))+IF(AE24=0,0,IF(AE24=IFERROR(LARGE(AE$7:AE$62,1),0),1,0))+IF(AF24=0,0,IF(AF24=IFERROR(LARGE(AF$7:AF$62,1),0),1,0))+IF(AG24=0,0,IF(AG24=IFERROR(LARGE(AG$7:AG$62,1),0),1,0))+IF(AH24=0,0,IF(AH24=IFERROR(LARGE(AH$7:AH$62,1),0),1,0))+IF(AI24=0,0,IF(AI24=IFERROR(LARGE(AI$7:AI$62,1),0),1,0))</f>
        <v>0</v>
      </c>
      <c r="AQ24" s="620"/>
      <c r="AR24" s="605"/>
      <c r="AS24" s="606"/>
      <c r="AT24" s="606"/>
      <c r="AU24" s="606"/>
      <c r="AV24" s="606"/>
      <c r="AW24" s="605">
        <f t="shared" si="10"/>
        <v>2.9999999999999997E-4</v>
      </c>
      <c r="AX24" s="606">
        <f t="shared" si="11"/>
        <v>16.0001</v>
      </c>
      <c r="AY24" s="606">
        <f t="shared" si="11"/>
        <v>14.0002</v>
      </c>
      <c r="AZ24" s="606">
        <f t="shared" si="11"/>
        <v>2.9999999999999997E-4</v>
      </c>
      <c r="BA24" s="606">
        <f t="shared" si="11"/>
        <v>14.000400000000001</v>
      </c>
      <c r="BB24" s="606">
        <f t="shared" si="11"/>
        <v>14.000500000000001</v>
      </c>
      <c r="BC24" s="606">
        <f t="shared" si="11"/>
        <v>11.0006</v>
      </c>
      <c r="BD24" s="606">
        <f t="shared" si="11"/>
        <v>6.9999999999999999E-4</v>
      </c>
      <c r="BE24" s="606">
        <f t="shared" si="11"/>
        <v>13.0008</v>
      </c>
      <c r="BF24" s="606">
        <f t="shared" si="11"/>
        <v>8.9999999999999998E-4</v>
      </c>
      <c r="BG24" s="606">
        <f t="shared" si="11"/>
        <v>1E-3</v>
      </c>
    </row>
    <row r="25" spans="1:59" x14ac:dyDescent="0.2">
      <c r="A25" s="583">
        <f>IF(R25&gt;0,IF(Q25="v",RANK(B25,B$7:B$62,1)-COUNTBLANK(Q$7:Q$62),""),"")</f>
        <v>16</v>
      </c>
      <c r="B25" s="584">
        <f t="shared" si="0"/>
        <v>19</v>
      </c>
      <c r="C25" s="585">
        <f>IF(R25&gt;0,IF(P25="k",RANK(D25,D$7:D$62,1)-COUNTBLANK(P$7:P$62),""),"")</f>
        <v>7</v>
      </c>
      <c r="D25" s="584">
        <f t="shared" si="1"/>
        <v>19</v>
      </c>
      <c r="E25" s="586">
        <f>IF(R25&gt;0,IF(N25="m",RANK(F25,F$7:F$62,1)-COUNTBLANK(N$7:N$62),""),"")</f>
        <v>18</v>
      </c>
      <c r="F25" s="584">
        <f t="shared" si="2"/>
        <v>19</v>
      </c>
      <c r="G25" s="587" t="str">
        <f>IF(R25&gt;0,IF(M25="n",RANK(H25,H$7:H$62,1)-COUNTBLANK(M$7:M$62),""),"")</f>
        <v/>
      </c>
      <c r="H25" s="584">
        <f t="shared" si="3"/>
        <v>-981</v>
      </c>
      <c r="I25" s="588" t="str">
        <f>IF(R25&gt;0,IF(O25="j",RANK(J25,J$7:J$62,1)-COUNTBLANK(O$7:O$62),""),"")</f>
        <v/>
      </c>
      <c r="J25" s="589">
        <f t="shared" si="4"/>
        <v>-981</v>
      </c>
      <c r="K25" s="548">
        <f>IF(R25&gt;0,RANK(U25,U$7:U$62,1),"")</f>
        <v>19</v>
      </c>
      <c r="L25" s="590" t="s">
        <v>259</v>
      </c>
      <c r="M25" s="591"/>
      <c r="N25" s="592" t="str">
        <f t="shared" si="13"/>
        <v>m</v>
      </c>
      <c r="O25" s="593"/>
      <c r="P25" s="594" t="s">
        <v>320</v>
      </c>
      <c r="Q25" s="595" t="s">
        <v>319</v>
      </c>
      <c r="R25" s="596">
        <f>(IF(COUNT(Z25,AA25,AB25,AC25,AD25,AE25,AF25,AG25,AH25,AI25)&lt;9,SUM(Z25,AA25,AB25,AC25,AD25,AE25,AF25,AG25,AH25,AI25),SUM(LARGE((Z25,AA25,AB25,AC25,AD25,AE25,AF25,AG25,AH25,AI25),{1;2;3;4;5;6;7;8;9}))))</f>
        <v>81</v>
      </c>
      <c r="S25" s="597" t="str">
        <f>INDEX(ETAPP!B$1:B$32,MATCH(COUNTIF(Z25:AI25,PVO!A$1),ETAPP!A$1:A$32,0))&amp;INDEX(ETAPP!B$1:B$32,MATCH(COUNTIF(Z25:AI25,PVO!A$2),ETAPP!A$1:A$32,0))&amp;INDEX(ETAPP!B$1:B$32,MATCH(COUNTIF(Z25:AI25,PVO!A$3),ETAPP!A$1:A$32,0))&amp;INDEX(ETAPP!B$1:B$32,MATCH(COUNTIF(Z25:AI25,PVO!A$4),ETAPP!A$1:A$32,0))&amp;INDEX(ETAPP!B$1:B$32,MATCH(COUNTIF(Z25:AI25,PVO!A$5),ETAPP!A$1:A$32,0))&amp;INDEX(ETAPP!B$1:B$32,MATCH(COUNTIF(Z25:AI25,PVO!A$6),ETAPP!A$1:A$32,0))&amp;INDEX(ETAPP!B$1:B$32,MATCH(COUNTIF(Z25:AI25,PVO!A$7),ETAPP!A$1:A$32,0))&amp;INDEX(ETAPP!B$1:B$32,MATCH(COUNTIF(Z25:AI25,PVO!A$8),ETAPP!A$1:A$32,0))&amp;INDEX(ETAPP!B$1:B$32,MATCH(COUNTIF(Z25:AI25,PVO!A$9),ETAPP!A$1:A$32,0))&amp;INDEX(ETAPP!B$1:B$32,MATCH(COUNTIF(Z25:AI25,PVO!A$10),ETAPP!A$1:A$32,0))&amp;INDEX(ETAPP!B$1:B$32,MATCH(COUNTIF(Z25:AI25,PVO!A$11),ETAPP!A$1:A$32,0))&amp;INDEX(ETAPP!B$1:B$32,MATCH(COUNTIF(Z25:AI25,PVO!A$12),ETAPP!A$1:A$32,0))&amp;INDEX(ETAPP!B$1:B$32,MATCH(COUNTIF(Z25:AI25,PVO!A$13),ETAPP!A$1:A$32,0))&amp;INDEX(ETAPP!B$1:B$32,MATCH(COUNTIF(Z25:AI25,PVO!A$14),ETAPP!A$1:A$32,0))&amp;INDEX(ETAPP!B$1:B$32,MATCH(COUNTIF(Z25:AI25,PVO!A$15),ETAPP!A$1:A$32,0))&amp;INDEX(ETAPP!B$1:B$32,MATCH(COUNTIF(Z25:AI25,PVO!A$16),ETAPP!A$1:A$32,0))&amp;INDEX(ETAPP!B$1:B$32,MATCH(COUNTIF(Z25:AI25,PVO!A$17),ETAPP!A$1:A$32,0))&amp;INDEX(ETAPP!B$1:B$32,MATCH(COUNTIF(Z25:AI25,PVO!A$18),ETAPP!A$1:A$32,0))&amp;INDEX(ETAPP!B$1:B$32,MATCH(COUNTIF(Z25:AI25,PVO!A$19),ETAPP!A$1:A$32,0))</f>
        <v>00000B0A00BB0000000</v>
      </c>
      <c r="T25" s="597" t="str">
        <f t="shared" si="5"/>
        <v>081,0-00000B0A00BB0000000</v>
      </c>
      <c r="U25" s="597">
        <f>COUNTIF(T$7:T$62,"&gt;="&amp;T25)</f>
        <v>19</v>
      </c>
      <c r="V25" s="597">
        <f>COUNTIF(L$7:L$62,"&gt;="&amp;L25)</f>
        <v>42</v>
      </c>
      <c r="W25" s="597" t="str">
        <f t="shared" si="6"/>
        <v>081,0-00000B0A00BB0000000-042</v>
      </c>
      <c r="X25" s="597">
        <f>COUNTIF(W$7:W$62,"&gt;="&amp;W25)</f>
        <v>19</v>
      </c>
      <c r="Y25" s="598">
        <f>RANK(X25,X$7:X$62,0)</f>
        <v>38</v>
      </c>
      <c r="Z25" s="599" t="str">
        <f>IFERROR(INDEX('V1'!C$300:C$400,MATCH("*"&amp;L25&amp;"*",'V1'!B$300:B$400,0)),"  ")</f>
        <v xml:space="preserve">  </v>
      </c>
      <c r="AA25" s="599">
        <f>IFERROR(INDEX('V2'!C$300:C$400,MATCH("*"&amp;L25&amp;"*",'V2'!B$300:B$400,0)),"  ")</f>
        <v>10</v>
      </c>
      <c r="AB25" s="599">
        <f>IFERROR(INDEX('V3'!C$300:C$400,MATCH("*"&amp;L25&amp;"*",'V3'!B$300:B$400,0)),"  ")</f>
        <v>13</v>
      </c>
      <c r="AC25" s="599">
        <f>IFERROR(INDEX('V4'!C$300:C$400,MATCH("*"&amp;L25&amp;"*",'V4'!B$300:B$400,0)),"  ")</f>
        <v>15</v>
      </c>
      <c r="AD25" s="599">
        <f>IFERROR(INDEX('V5'!C$300:C$400,MATCH("*"&amp;L25&amp;"*",'V5'!B$300:B$400,0)),"  ")</f>
        <v>0</v>
      </c>
      <c r="AE25" s="599">
        <f>IFERROR(INDEX('V6'!C$300:C$400,MATCH("*"&amp;L25&amp;"*",'V6'!B$300:B$400,0)),"  ")</f>
        <v>9</v>
      </c>
      <c r="AF25" s="599">
        <f>IFERROR(INDEX('V7'!C$300:C$400,MATCH("*"&amp;L25&amp;"*",'V7'!B$300:B$400,0)),"  ")</f>
        <v>10</v>
      </c>
      <c r="AG25" s="599">
        <f>IFERROR(INDEX('V8'!C$300:C$400,MATCH("*"&amp;L25&amp;"*",'V8'!B$300:B$400,0)),"  ")</f>
        <v>9</v>
      </c>
      <c r="AH25" s="599" t="str">
        <f>IFERROR(INDEX('V9'!C$300:C$400,MATCH("*"&amp;L25&amp;"*",'V9'!B$300:B$400,0)),"  ")</f>
        <v xml:space="preserve">  </v>
      </c>
      <c r="AI25" s="599">
        <f>IFERROR(INDEX('V10'!C$300:C$400,MATCH("*"&amp;L25&amp;"*",'V10'!B$300:B$400,0)),"  ")</f>
        <v>15</v>
      </c>
      <c r="AJ25" s="600">
        <f t="shared" si="7"/>
        <v>1</v>
      </c>
      <c r="AK25" s="600">
        <f t="shared" si="8"/>
        <v>38</v>
      </c>
      <c r="AL25" s="601" t="str">
        <f>IFERROR("edasi "&amp;RANK(AK25,AK$7:AK$62,0),K25)</f>
        <v>edasi 19</v>
      </c>
      <c r="AM25" s="602">
        <f>IFERROR(INDEX('V-fin'!A$300:A$400,MATCH("*"&amp;L25&amp;"*",'V-fin'!B$300:B$400,0)),"  ")</f>
        <v>24</v>
      </c>
      <c r="AN25" s="603">
        <f t="shared" si="9"/>
        <v>8</v>
      </c>
      <c r="AO25" s="604">
        <f>IFERROR(IF(Z25+1&gt;LARGE(Z$7:Z$62,1)-2,1),0)+IFERROR(IF(AA25+1&gt;LARGE(AA$7:AA$62,1)-2,1),0)+IFERROR(IF(AB25+1&gt;LARGE(AB$7:AB$62,1)-2,1),0)+IFERROR(IF(AC25+1&gt;LARGE(AC$7:AC$62,1)-2,1),0)+IFERROR(IF(AD25+1&gt;LARGE(AD$7:AD$62,1)-2,1),0)+IFERROR(IF(AE25+1&gt;LARGE(AE$7:AE$62,1)-2,1),0)+IFERROR(IF(AF25+1&gt;LARGE(AF$7:AF$62,1)-2,1),0)+IFERROR(IF(AG25+1&gt;LARGE(AG$7:AG$62,1)-2,1),0)+IFERROR(IF(AH25+1&gt;LARGE(AH$7:AH$62,1)-2,1),0)+IFERROR(IF(AI25+1&gt;LARGE(AI$7:AI$62,1)-2,1),0)</f>
        <v>0</v>
      </c>
      <c r="AP25" s="604">
        <f>IF(Z25=0,0,IF(Z25=IFERROR(LARGE(Z$7:Z$62,1),0),1,0))+IF(AA25=0,0,IF(AA25=IFERROR(LARGE(AA$7:AA$62,1),0),1,0))+IF(AB25=0,0,IF(AB25=IFERROR(LARGE(AB$7:AB$62,1),0),1,0))+IF(AC25=0,0,IF(AC25=IFERROR(LARGE(AC$7:AC$62,1),0),1,0))+IF(AD25=0,0,IF(AD25=IFERROR(LARGE(AD$7:AD$62,1),0),1,0))+IF(AE25=0,0,IF(AE25=IFERROR(LARGE(AE$7:AE$62,1),0),1,0))+IF(AF25=0,0,IF(AF25=IFERROR(LARGE(AF$7:AF$62,1),0),1,0))+IF(AG25=0,0,IF(AG25=IFERROR(LARGE(AG$7:AG$62,1),0),1,0))+IF(AH25=0,0,IF(AH25=IFERROR(LARGE(AH$7:AH$62,1),0),1,0))+IF(AI25=0,0,IF(AI25=IFERROR(LARGE(AI$7:AI$62,1),0),1,0))</f>
        <v>0</v>
      </c>
      <c r="AQ25" s="620"/>
      <c r="AR25" s="605"/>
      <c r="AS25" s="606"/>
      <c r="AT25" s="606"/>
      <c r="AU25" s="606"/>
      <c r="AV25" s="606"/>
      <c r="AW25" s="605">
        <f t="shared" si="10"/>
        <v>1E-4</v>
      </c>
      <c r="AX25" s="606">
        <f t="shared" si="11"/>
        <v>1E-4</v>
      </c>
      <c r="AY25" s="606">
        <f t="shared" si="11"/>
        <v>10.0002</v>
      </c>
      <c r="AZ25" s="606">
        <f t="shared" si="11"/>
        <v>13.000299999999999</v>
      </c>
      <c r="BA25" s="606">
        <f t="shared" si="11"/>
        <v>15.000400000000001</v>
      </c>
      <c r="BB25" s="606">
        <f t="shared" si="11"/>
        <v>5.0000000000000001E-4</v>
      </c>
      <c r="BC25" s="606">
        <f t="shared" si="11"/>
        <v>9.0006000000000004</v>
      </c>
      <c r="BD25" s="606">
        <f t="shared" si="11"/>
        <v>10.0007</v>
      </c>
      <c r="BE25" s="606">
        <f t="shared" si="11"/>
        <v>9.0007999999999999</v>
      </c>
      <c r="BF25" s="606">
        <f t="shared" si="11"/>
        <v>8.9999999999999998E-4</v>
      </c>
      <c r="BG25" s="606">
        <f t="shared" si="11"/>
        <v>15.000999999999999</v>
      </c>
    </row>
    <row r="26" spans="1:59" x14ac:dyDescent="0.2">
      <c r="A26" s="583">
        <f>IF(R26&gt;0,IF(Q26="v",RANK(B26,B$7:B$62,1)-COUNTBLANK(Q$7:Q$62),""),"")</f>
        <v>17</v>
      </c>
      <c r="B26" s="584">
        <f t="shared" si="0"/>
        <v>20</v>
      </c>
      <c r="C26" s="585" t="str">
        <f>IF(R26&gt;0,IF(P26="k",RANK(D26,D$7:D$62,1)-COUNTBLANK(P$7:P$62),""),"")</f>
        <v/>
      </c>
      <c r="D26" s="584">
        <f t="shared" si="1"/>
        <v>-980</v>
      </c>
      <c r="E26" s="586">
        <f>IF(R26&gt;0,IF(N26="m",RANK(F26,F$7:F$62,1)-COUNTBLANK(N$7:N$62),""),"")</f>
        <v>19</v>
      </c>
      <c r="F26" s="584">
        <f t="shared" si="2"/>
        <v>20</v>
      </c>
      <c r="G26" s="587" t="str">
        <f>IF(R26&gt;0,IF(M26="n",RANK(H26,H$7:H$62,1)-COUNTBLANK(M$7:M$62),""),"")</f>
        <v/>
      </c>
      <c r="H26" s="584">
        <f t="shared" si="3"/>
        <v>-980</v>
      </c>
      <c r="I26" s="588" t="str">
        <f>IF(R26&gt;0,IF(O26="j",RANK(J26,J$7:J$62,1)-COUNTBLANK(O$7:O$62),""),"")</f>
        <v/>
      </c>
      <c r="J26" s="589">
        <f t="shared" si="4"/>
        <v>-980</v>
      </c>
      <c r="K26" s="548">
        <f>IF(R26&gt;0,RANK(U26,U$7:U$62,1),"")</f>
        <v>20</v>
      </c>
      <c r="L26" s="608" t="s">
        <v>270</v>
      </c>
      <c r="M26" s="591"/>
      <c r="N26" s="592" t="str">
        <f t="shared" si="13"/>
        <v>m</v>
      </c>
      <c r="O26" s="593"/>
      <c r="P26" s="594"/>
      <c r="Q26" s="595" t="s">
        <v>319</v>
      </c>
      <c r="R26" s="596">
        <f>(IF(COUNT(Z26,AA26,AB26,AC26,AD26,AE26,AF26,AG26,AH26,AI26)&lt;9,SUM(Z26,AA26,AB26,AC26,AD26,AE26,AF26,AG26,AH26,AI26),SUM(LARGE((Z26,AA26,AB26,AC26,AD26,AE26,AF26,AG26,AH26,AI26),{1;2;3;4;5;6;7;8;9}))))</f>
        <v>77</v>
      </c>
      <c r="S26" s="597" t="str">
        <f>INDEX(ETAPP!B$1:B$32,MATCH(COUNTIF(Z26:AI26,PVO!A$1),ETAPP!A$1:A$32,0))&amp;INDEX(ETAPP!B$1:B$32,MATCH(COUNTIF(Z26:AI26,PVO!A$2),ETAPP!A$1:A$32,0))&amp;INDEX(ETAPP!B$1:B$32,MATCH(COUNTIF(Z26:AI26,PVO!A$3),ETAPP!A$1:A$32,0))&amp;INDEX(ETAPP!B$1:B$32,MATCH(COUNTIF(Z26:AI26,PVO!A$4),ETAPP!A$1:A$32,0))&amp;INDEX(ETAPP!B$1:B$32,MATCH(COUNTIF(Z26:AI26,PVO!A$5),ETAPP!A$1:A$32,0))&amp;INDEX(ETAPP!B$1:B$32,MATCH(COUNTIF(Z26:AI26,PVO!A$6),ETAPP!A$1:A$32,0))&amp;INDEX(ETAPP!B$1:B$32,MATCH(COUNTIF(Z26:AI26,PVO!A$7),ETAPP!A$1:A$32,0))&amp;INDEX(ETAPP!B$1:B$32,MATCH(COUNTIF(Z26:AI26,PVO!A$8),ETAPP!A$1:A$32,0))&amp;INDEX(ETAPP!B$1:B$32,MATCH(COUNTIF(Z26:AI26,PVO!A$9),ETAPP!A$1:A$32,0))&amp;INDEX(ETAPP!B$1:B$32,MATCH(COUNTIF(Z26:AI26,PVO!A$10),ETAPP!A$1:A$32,0))&amp;INDEX(ETAPP!B$1:B$32,MATCH(COUNTIF(Z26:AI26,PVO!A$11),ETAPP!A$1:A$32,0))&amp;INDEX(ETAPP!B$1:B$32,MATCH(COUNTIF(Z26:AI26,PVO!A$12),ETAPP!A$1:A$32,0))&amp;INDEX(ETAPP!B$1:B$32,MATCH(COUNTIF(Z26:AI26,PVO!A$13),ETAPP!A$1:A$32,0))&amp;INDEX(ETAPP!B$1:B$32,MATCH(COUNTIF(Z26:AI26,PVO!A$14),ETAPP!A$1:A$32,0))&amp;INDEX(ETAPP!B$1:B$32,MATCH(COUNTIF(Z26:AI26,PVO!A$15),ETAPP!A$1:A$32,0))&amp;INDEX(ETAPP!B$1:B$32,MATCH(COUNTIF(Z26:AI26,PVO!A$16),ETAPP!A$1:A$32,0))&amp;INDEX(ETAPP!B$1:B$32,MATCH(COUNTIF(Z26:AI26,PVO!A$17),ETAPP!A$1:A$32,0))&amp;INDEX(ETAPP!B$1:B$32,MATCH(COUNTIF(Z26:AI26,PVO!A$18),ETAPP!A$1:A$32,0))&amp;INDEX(ETAPP!B$1:B$32,MATCH(COUNTIF(Z26:AI26,PVO!A$19),ETAPP!A$1:A$32,0))</f>
        <v>A00AA0A000A00000000</v>
      </c>
      <c r="T26" s="597" t="str">
        <f t="shared" si="5"/>
        <v>077,0-A00AA0A000A00000000</v>
      </c>
      <c r="U26" s="597">
        <f>COUNTIF(T$7:T$62,"&gt;="&amp;T26)</f>
        <v>20</v>
      </c>
      <c r="V26" s="597">
        <f>COUNTIF(L$7:L$62,"&gt;="&amp;L26)</f>
        <v>5</v>
      </c>
      <c r="W26" s="597" t="str">
        <f t="shared" si="6"/>
        <v>077,0-A00AA0A000A00000000-005</v>
      </c>
      <c r="X26" s="597">
        <f>COUNTIF(W$7:W$62,"&gt;="&amp;W26)</f>
        <v>20</v>
      </c>
      <c r="Y26" s="598">
        <f>RANK(X26,X$7:X$62,0)</f>
        <v>37</v>
      </c>
      <c r="Z26" s="599">
        <f>IFERROR(INDEX('V1'!C$300:C$400,MATCH("*"&amp;L26&amp;"*",'V1'!B$300:B$400,0)),"  ")</f>
        <v>14</v>
      </c>
      <c r="AA26" s="599" t="str">
        <f>IFERROR(INDEX('V2'!C$300:C$400,MATCH("*"&amp;L26&amp;"*",'V2'!B$300:B$400,0)),"  ")</f>
        <v xml:space="preserve">  </v>
      </c>
      <c r="AB26" s="599" t="str">
        <f>IFERROR(INDEX('V3'!C$300:C$400,MATCH("*"&amp;L26&amp;"*",'V3'!B$300:B$400,0)),"  ")</f>
        <v xml:space="preserve">  </v>
      </c>
      <c r="AC26" s="599">
        <f>IFERROR(INDEX('V4'!C$300:C$400,MATCH("*"&amp;L26&amp;"*",'V4'!B$300:B$400,0)),"  ")</f>
        <v>20</v>
      </c>
      <c r="AD26" s="599">
        <f>IFERROR(INDEX('V5'!C$300:C$400,MATCH("*"&amp;L26&amp;"*",'V5'!B$300:B$400,0)),"  ")</f>
        <v>16</v>
      </c>
      <c r="AE26" s="599">
        <f>IFERROR(INDEX('V6'!C$300:C$400,MATCH("*"&amp;L26&amp;"*",'V6'!B$300:B$400,0)),"  ")</f>
        <v>10</v>
      </c>
      <c r="AF26" s="599" t="str">
        <f>IFERROR(INDEX('V7'!C$300:C$400,MATCH("*"&amp;L26&amp;"*",'V7'!B$300:B$400,0)),"  ")</f>
        <v xml:space="preserve">  </v>
      </c>
      <c r="AG26" s="599">
        <f>IFERROR(INDEX('V8'!C$300:C$400,MATCH("*"&amp;L26&amp;"*",'V8'!B$300:B$400,0)),"  ")</f>
        <v>17</v>
      </c>
      <c r="AH26" s="599" t="str">
        <f>IFERROR(INDEX('V9'!C$300:C$400,MATCH("*"&amp;L26&amp;"*",'V9'!B$300:B$400,0)),"  ")</f>
        <v xml:space="preserve">  </v>
      </c>
      <c r="AI26" s="599" t="str">
        <f>IFERROR(INDEX('V10'!C$300:C$400,MATCH("*"&amp;L26&amp;"*",'V10'!B$300:B$400,0)),"  ")</f>
        <v xml:space="preserve">  </v>
      </c>
      <c r="AJ26" s="600">
        <f t="shared" si="7"/>
        <v>1</v>
      </c>
      <c r="AK26" s="600">
        <f t="shared" si="8"/>
        <v>37</v>
      </c>
      <c r="AL26" s="601" t="str">
        <f>IFERROR("edasi "&amp;RANK(AK26,AK$7:AK$62,0),K26)</f>
        <v>edasi 20</v>
      </c>
      <c r="AM26" s="602">
        <f>IFERROR(INDEX('V-fin'!A$300:A$400,MATCH("*"&amp;L26&amp;"*",'V-fin'!B$300:B$400,0)),"  ")</f>
        <v>14</v>
      </c>
      <c r="AN26" s="603">
        <f t="shared" si="9"/>
        <v>5</v>
      </c>
      <c r="AO26" s="604">
        <f>IFERROR(IF(Z26+1&gt;LARGE(Z$7:Z$62,1)-2,1),0)+IFERROR(IF(AA26+1&gt;LARGE(AA$7:AA$62,1)-2,1),0)+IFERROR(IF(AB26+1&gt;LARGE(AB$7:AB$62,1)-2,1),0)+IFERROR(IF(AC26+1&gt;LARGE(AC$7:AC$62,1)-2,1),0)+IFERROR(IF(AD26+1&gt;LARGE(AD$7:AD$62,1)-2,1),0)+IFERROR(IF(AE26+1&gt;LARGE(AE$7:AE$62,1)-2,1),0)+IFERROR(IF(AF26+1&gt;LARGE(AF$7:AF$62,1)-2,1),0)+IFERROR(IF(AG26+1&gt;LARGE(AG$7:AG$62,1)-2,1),0)+IFERROR(IF(AH26+1&gt;LARGE(AH$7:AH$62,1)-2,1),0)+IFERROR(IF(AI26+1&gt;LARGE(AI$7:AI$62,1)-2,1),0)</f>
        <v>1</v>
      </c>
      <c r="AP26" s="604">
        <f>IF(Z26=0,0,IF(Z26=IFERROR(LARGE(Z$7:Z$62,1),0),1,0))+IF(AA26=0,0,IF(AA26=IFERROR(LARGE(AA$7:AA$62,1),0),1,0))+IF(AB26=0,0,IF(AB26=IFERROR(LARGE(AB$7:AB$62,1),0),1,0))+IF(AC26=0,0,IF(AC26=IFERROR(LARGE(AC$7:AC$62,1),0),1,0))+IF(AD26=0,0,IF(AD26=IFERROR(LARGE(AD$7:AD$62,1),0),1,0))+IF(AE26=0,0,IF(AE26=IFERROR(LARGE(AE$7:AE$62,1),0),1,0))+IF(AF26=0,0,IF(AF26=IFERROR(LARGE(AF$7:AF$62,1),0),1,0))+IF(AG26=0,0,IF(AG26=IFERROR(LARGE(AG$7:AG$62,1),0),1,0))+IF(AH26=0,0,IF(AH26=IFERROR(LARGE(AH$7:AH$62,1),0),1,0))+IF(AI26=0,0,IF(AI26=IFERROR(LARGE(AI$7:AI$62,1),0),1,0))</f>
        <v>1</v>
      </c>
      <c r="AQ26" s="512"/>
      <c r="AR26" s="605"/>
      <c r="AS26" s="606"/>
      <c r="AT26" s="606"/>
      <c r="AU26" s="606"/>
      <c r="AV26" s="606"/>
      <c r="AW26" s="605">
        <f t="shared" si="10"/>
        <v>2.0000000000000001E-4</v>
      </c>
      <c r="AX26" s="606">
        <f t="shared" si="11"/>
        <v>14.0001</v>
      </c>
      <c r="AY26" s="606">
        <f t="shared" si="11"/>
        <v>2.0000000000000001E-4</v>
      </c>
      <c r="AZ26" s="606">
        <f t="shared" si="11"/>
        <v>2.9999999999999997E-4</v>
      </c>
      <c r="BA26" s="606">
        <f t="shared" si="11"/>
        <v>20.000399999999999</v>
      </c>
      <c r="BB26" s="606">
        <f t="shared" si="11"/>
        <v>16.000499999999999</v>
      </c>
      <c r="BC26" s="606">
        <f t="shared" si="11"/>
        <v>10.0006</v>
      </c>
      <c r="BD26" s="606">
        <f t="shared" si="11"/>
        <v>6.9999999999999999E-4</v>
      </c>
      <c r="BE26" s="606">
        <f t="shared" si="11"/>
        <v>17.000800000000002</v>
      </c>
      <c r="BF26" s="606">
        <f t="shared" si="11"/>
        <v>8.9999999999999998E-4</v>
      </c>
      <c r="BG26" s="606">
        <f t="shared" si="11"/>
        <v>1E-3</v>
      </c>
    </row>
    <row r="27" spans="1:59" x14ac:dyDescent="0.2">
      <c r="A27" s="583" t="str">
        <f>IF(R27&gt;0,IF(Q27="v",RANK(B27,B$7:B$62,1)-COUNTBLANK(Q$7:Q$62),""),"")</f>
        <v/>
      </c>
      <c r="B27" s="584">
        <f t="shared" si="0"/>
        <v>-979</v>
      </c>
      <c r="C27" s="585" t="str">
        <f>IF(R27&gt;0,IF(P27="k",RANK(D27,D$7:D$62,1)-COUNTBLANK(P$7:P$62),""),"")</f>
        <v/>
      </c>
      <c r="D27" s="584">
        <f t="shared" si="1"/>
        <v>-979</v>
      </c>
      <c r="E27" s="586" t="str">
        <f>IF(R27&gt;0,IF(N27="m",RANK(F27,F$7:F$62,1)-COUNTBLANK(N$7:N$62),""),"")</f>
        <v/>
      </c>
      <c r="F27" s="584">
        <f t="shared" si="2"/>
        <v>-979</v>
      </c>
      <c r="G27" s="587">
        <f>IF(R27&gt;0,IF(M27="n",RANK(H27,H$7:H$62,1)-COUNTBLANK(M$7:M$62),""),"")</f>
        <v>2</v>
      </c>
      <c r="H27" s="584">
        <f t="shared" si="3"/>
        <v>21</v>
      </c>
      <c r="I27" s="588" t="str">
        <f>IF(R27&gt;0,IF(O27="j",RANK(J27,J$7:J$62,1)-COUNTBLANK(O$7:O$62),""),"")</f>
        <v/>
      </c>
      <c r="J27" s="589">
        <f t="shared" si="4"/>
        <v>-979</v>
      </c>
      <c r="K27" s="548">
        <f>IF(R27&gt;0,RANK(U27,U$7:U$62,1),"")</f>
        <v>21</v>
      </c>
      <c r="L27" s="607" t="s">
        <v>257</v>
      </c>
      <c r="M27" s="591" t="s">
        <v>234</v>
      </c>
      <c r="N27" s="592"/>
      <c r="O27" s="593"/>
      <c r="P27" s="594"/>
      <c r="Q27" s="595"/>
      <c r="R27" s="596">
        <f>(IF(COUNT(Z27,AA27,AB27,AC27,AD27,AE27,AF27,AG27,AH27,AI27)&lt;9,SUM(Z27,AA27,AB27,AC27,AD27,AE27,AF27,AG27,AH27,AI27),SUM(LARGE((Z27,AA27,AB27,AC27,AD27,AE27,AF27,AG27,AH27,AI27),{1;2;3;4;5;6;7;8;9}))))</f>
        <v>77</v>
      </c>
      <c r="S27" s="597" t="str">
        <f>INDEX(ETAPP!B$1:B$32,MATCH(COUNTIF(Z27:AI27,PVO!A$1),ETAPP!A$1:A$32,0))&amp;INDEX(ETAPP!B$1:B$32,MATCH(COUNTIF(Z27:AI27,PVO!A$2),ETAPP!A$1:A$32,0))&amp;INDEX(ETAPP!B$1:B$32,MATCH(COUNTIF(Z27:AI27,PVO!A$3),ETAPP!A$1:A$32,0))&amp;INDEX(ETAPP!B$1:B$32,MATCH(COUNTIF(Z27:AI27,PVO!A$4),ETAPP!A$1:A$32,0))&amp;INDEX(ETAPP!B$1:B$32,MATCH(COUNTIF(Z27:AI27,PVO!A$5),ETAPP!A$1:A$32,0))&amp;INDEX(ETAPP!B$1:B$32,MATCH(COUNTIF(Z27:AI27,PVO!A$6),ETAPP!A$1:A$32,0))&amp;INDEX(ETAPP!B$1:B$32,MATCH(COUNTIF(Z27:AI27,PVO!A$7),ETAPP!A$1:A$32,0))&amp;INDEX(ETAPP!B$1:B$32,MATCH(COUNTIF(Z27:AI27,PVO!A$8),ETAPP!A$1:A$32,0))&amp;INDEX(ETAPP!B$1:B$32,MATCH(COUNTIF(Z27:AI27,PVO!A$9),ETAPP!A$1:A$32,0))&amp;INDEX(ETAPP!B$1:B$32,MATCH(COUNTIF(Z27:AI27,PVO!A$10),ETAPP!A$1:A$32,0))&amp;INDEX(ETAPP!B$1:B$32,MATCH(COUNTIF(Z27:AI27,PVO!A$11),ETAPP!A$1:A$32,0))&amp;INDEX(ETAPP!B$1:B$32,MATCH(COUNTIF(Z27:AI27,PVO!A$12),ETAPP!A$1:A$32,0))&amp;INDEX(ETAPP!B$1:B$32,MATCH(COUNTIF(Z27:AI27,PVO!A$13),ETAPP!A$1:A$32,0))&amp;INDEX(ETAPP!B$1:B$32,MATCH(COUNTIF(Z27:AI27,PVO!A$14),ETAPP!A$1:A$32,0))&amp;INDEX(ETAPP!B$1:B$32,MATCH(COUNTIF(Z27:AI27,PVO!A$15),ETAPP!A$1:A$32,0))&amp;INDEX(ETAPP!B$1:B$32,MATCH(COUNTIF(Z27:AI27,PVO!A$16),ETAPP!A$1:A$32,0))&amp;INDEX(ETAPP!B$1:B$32,MATCH(COUNTIF(Z27:AI27,PVO!A$17),ETAPP!A$1:A$32,0))&amp;INDEX(ETAPP!B$1:B$32,MATCH(COUNTIF(Z27:AI27,PVO!A$18),ETAPP!A$1:A$32,0))&amp;INDEX(ETAPP!B$1:B$32,MATCH(COUNTIF(Z27:AI27,PVO!A$19),ETAPP!A$1:A$32,0))</f>
        <v>000000A0BAB0A000000</v>
      </c>
      <c r="T27" s="597" t="str">
        <f t="shared" si="5"/>
        <v>077,0-000000A0BAB0A000000</v>
      </c>
      <c r="U27" s="597">
        <f>COUNTIF(T$7:T$62,"&gt;="&amp;T27)</f>
        <v>21</v>
      </c>
      <c r="V27" s="597">
        <f>COUNTIF(L$7:L$62,"&gt;="&amp;L27)</f>
        <v>27</v>
      </c>
      <c r="W27" s="597" t="str">
        <f t="shared" si="6"/>
        <v>077,0-000000A0BAB0A000000-027</v>
      </c>
      <c r="X27" s="597">
        <f>COUNTIF(W$7:W$62,"&gt;="&amp;W27)</f>
        <v>21</v>
      </c>
      <c r="Y27" s="598">
        <f>RANK(X27,X$7:X$62,0)</f>
        <v>36</v>
      </c>
      <c r="Z27" s="599" t="str">
        <f>IFERROR(INDEX('V1'!C$300:C$400,MATCH("*"&amp;L27&amp;"*",'V1'!B$300:B$400,0)),"  ")</f>
        <v xml:space="preserve">  </v>
      </c>
      <c r="AA27" s="599" t="str">
        <f>IFERROR(INDEX('V2'!C$300:C$400,MATCH("*"&amp;L27&amp;"*",'V2'!B$300:B$400,0)),"  ")</f>
        <v xml:space="preserve">  </v>
      </c>
      <c r="AB27" s="599" t="str">
        <f>IFERROR(INDEX('V3'!C$300:C$400,MATCH("*"&amp;L27&amp;"*",'V3'!B$300:B$400,0)),"  ")</f>
        <v xml:space="preserve">  </v>
      </c>
      <c r="AC27" s="599">
        <f>IFERROR(INDEX('V4'!C$300:C$400,MATCH("*"&amp;L27&amp;"*",'V4'!B$300:B$400,0)),"  ")</f>
        <v>12</v>
      </c>
      <c r="AD27" s="599">
        <f>IFERROR(INDEX('V5'!C$300:C$400,MATCH("*"&amp;L27&amp;"*",'V5'!B$300:B$400,0)),"  ")</f>
        <v>10</v>
      </c>
      <c r="AE27" s="599">
        <f>IFERROR(INDEX('V6'!C$300:C$400,MATCH("*"&amp;L27&amp;"*",'V6'!B$300:B$400,0)),"  ")</f>
        <v>8</v>
      </c>
      <c r="AF27" s="599">
        <f>IFERROR(INDEX('V7'!C$300:C$400,MATCH("*"&amp;L27&amp;"*",'V7'!B$300:B$400,0)),"  ")</f>
        <v>12</v>
      </c>
      <c r="AG27" s="599">
        <f>IFERROR(INDEX('V8'!C$300:C$400,MATCH("*"&amp;L27&amp;"*",'V8'!B$300:B$400,0)),"  ")</f>
        <v>10</v>
      </c>
      <c r="AH27" s="599">
        <f>IFERROR(INDEX('V9'!C$300:C$400,MATCH("*"&amp;L27&amp;"*",'V9'!B$300:B$400,0)),"  ")</f>
        <v>11</v>
      </c>
      <c r="AI27" s="599">
        <f>IFERROR(INDEX('V10'!C$300:C$400,MATCH("*"&amp;L27&amp;"*",'V10'!B$300:B$400,0)),"  ")</f>
        <v>14</v>
      </c>
      <c r="AJ27" s="600">
        <f t="shared" si="7"/>
        <v>1</v>
      </c>
      <c r="AK27" s="600">
        <f t="shared" si="8"/>
        <v>36</v>
      </c>
      <c r="AL27" s="601" t="str">
        <f>IFERROR("edasi "&amp;RANK(AK27,AK$7:AK$62,0),K27)</f>
        <v>edasi 21</v>
      </c>
      <c r="AM27" s="602" t="str">
        <f>IFERROR(INDEX('V-fin'!A$300:A$400,MATCH("*"&amp;L27&amp;"*",'V-fin'!B$300:B$400,0)),"  ")</f>
        <v xml:space="preserve">  </v>
      </c>
      <c r="AN27" s="603">
        <f t="shared" si="9"/>
        <v>7</v>
      </c>
      <c r="AO27" s="604">
        <f>IFERROR(IF(Z27+1&gt;LARGE(Z$7:Z$62,1)-2,1),0)+IFERROR(IF(AA27+1&gt;LARGE(AA$7:AA$62,1)-2,1),0)+IFERROR(IF(AB27+1&gt;LARGE(AB$7:AB$62,1)-2,1),0)+IFERROR(IF(AC27+1&gt;LARGE(AC$7:AC$62,1)-2,1),0)+IFERROR(IF(AD27+1&gt;LARGE(AD$7:AD$62,1)-2,1),0)+IFERROR(IF(AE27+1&gt;LARGE(AE$7:AE$62,1)-2,1),0)+IFERROR(IF(AF27+1&gt;LARGE(AF$7:AF$62,1)-2,1),0)+IFERROR(IF(AG27+1&gt;LARGE(AG$7:AG$62,1)-2,1),0)+IFERROR(IF(AH27+1&gt;LARGE(AH$7:AH$62,1)-2,1),0)+IFERROR(IF(AI27+1&gt;LARGE(AI$7:AI$62,1)-2,1),0)</f>
        <v>0</v>
      </c>
      <c r="AP27" s="604">
        <f>IF(Z27=0,0,IF(Z27=IFERROR(LARGE(Z$7:Z$62,1),0),1,0))+IF(AA27=0,0,IF(AA27=IFERROR(LARGE(AA$7:AA$62,1),0),1,0))+IF(AB27=0,0,IF(AB27=IFERROR(LARGE(AB$7:AB$62,1),0),1,0))+IF(AC27=0,0,IF(AC27=IFERROR(LARGE(AC$7:AC$62,1),0),1,0))+IF(AD27=0,0,IF(AD27=IFERROR(LARGE(AD$7:AD$62,1),0),1,0))+IF(AE27=0,0,IF(AE27=IFERROR(LARGE(AE$7:AE$62,1),0),1,0))+IF(AF27=0,0,IF(AF27=IFERROR(LARGE(AF$7:AF$62,1),0),1,0))+IF(AG27=0,0,IF(AG27=IFERROR(LARGE(AG$7:AG$62,1),0),1,0))+IF(AH27=0,0,IF(AH27=IFERROR(LARGE(AH$7:AH$62,1),0),1,0))+IF(AI27=0,0,IF(AI27=IFERROR(LARGE(AI$7:AI$62,1),0),1,0))</f>
        <v>0</v>
      </c>
      <c r="AQ27" s="512"/>
      <c r="AR27" s="605"/>
      <c r="AS27" s="606"/>
      <c r="AT27" s="606"/>
      <c r="AU27" s="606"/>
      <c r="AV27" s="606"/>
      <c r="AW27" s="605">
        <f t="shared" si="10"/>
        <v>1E-4</v>
      </c>
      <c r="AX27" s="606">
        <f t="shared" si="11"/>
        <v>1E-4</v>
      </c>
      <c r="AY27" s="606">
        <f t="shared" si="11"/>
        <v>2.0000000000000001E-4</v>
      </c>
      <c r="AZ27" s="606">
        <f t="shared" si="11"/>
        <v>2.9999999999999997E-4</v>
      </c>
      <c r="BA27" s="606">
        <f t="shared" si="11"/>
        <v>12.000400000000001</v>
      </c>
      <c r="BB27" s="606">
        <f t="shared" si="11"/>
        <v>10.000500000000001</v>
      </c>
      <c r="BC27" s="606">
        <f t="shared" si="11"/>
        <v>8.0006000000000004</v>
      </c>
      <c r="BD27" s="606">
        <f t="shared" si="11"/>
        <v>12.0007</v>
      </c>
      <c r="BE27" s="606">
        <f t="shared" si="11"/>
        <v>10.0008</v>
      </c>
      <c r="BF27" s="606">
        <f t="shared" si="11"/>
        <v>11.0009</v>
      </c>
      <c r="BG27" s="606">
        <f t="shared" si="11"/>
        <v>14.000999999999999</v>
      </c>
    </row>
    <row r="28" spans="1:59" x14ac:dyDescent="0.2">
      <c r="A28" s="583" t="str">
        <f>IF(R28&gt;0,IF(Q28="v",RANK(B28,B$7:B$62,1)-COUNTBLANK(Q$7:Q$62),""),"")</f>
        <v/>
      </c>
      <c r="B28" s="584">
        <f t="shared" si="0"/>
        <v>-978</v>
      </c>
      <c r="C28" s="585" t="str">
        <f>IF(R28&gt;0,IF(P28="k",RANK(D28,D$7:D$62,1)-COUNTBLANK(P$7:P$62),""),"")</f>
        <v/>
      </c>
      <c r="D28" s="584">
        <f t="shared" si="1"/>
        <v>-978</v>
      </c>
      <c r="E28" s="586">
        <f>IF(R28&gt;0,IF(N28="m",RANK(F28,F$7:F$62,1)-COUNTBLANK(N$7:N$62),""),"")</f>
        <v>20</v>
      </c>
      <c r="F28" s="584">
        <f t="shared" si="2"/>
        <v>22</v>
      </c>
      <c r="G28" s="587" t="str">
        <f>IF(R28&gt;0,IF(M28="n",RANK(H28,H$7:H$62,1)-COUNTBLANK(M$7:M$62),""),"")</f>
        <v/>
      </c>
      <c r="H28" s="584">
        <f t="shared" si="3"/>
        <v>-978</v>
      </c>
      <c r="I28" s="588" t="str">
        <f>IF(R28&gt;0,IF(O28="j",RANK(J28,J$7:J$62,1)-COUNTBLANK(O$7:O$62),""),"")</f>
        <v/>
      </c>
      <c r="J28" s="589">
        <f t="shared" si="4"/>
        <v>-978</v>
      </c>
      <c r="K28" s="548">
        <f>IF(R28&gt;0,RANK(U28,U$7:U$62,1),"")</f>
        <v>22</v>
      </c>
      <c r="L28" s="609" t="s">
        <v>235</v>
      </c>
      <c r="M28" s="591"/>
      <c r="N28" s="592" t="str">
        <f>IF(M28="","m","")</f>
        <v>m</v>
      </c>
      <c r="O28" s="593"/>
      <c r="P28" s="594"/>
      <c r="Q28" s="595"/>
      <c r="R28" s="596">
        <f>(IF(COUNT(Z28,AA28,AB28,AC28,AD28,AE28,AF28,AG28,AH28,AI28)&lt;9,SUM(Z28,AA28,AB28,AC28,AD28,AE28,AF28,AG28,AH28,AI28),SUM(LARGE((Z28,AA28,AB28,AC28,AD28,AE28,AF28,AG28,AH28,AI28),{1;2;3;4;5;6;7;8;9}))))</f>
        <v>75</v>
      </c>
      <c r="S28" s="597" t="str">
        <f>INDEX(ETAPP!B$1:B$32,MATCH(COUNTIF(Z28:AI28,PVO!A$1),ETAPP!A$1:A$32,0))&amp;INDEX(ETAPP!B$1:B$32,MATCH(COUNTIF(Z28:AI28,PVO!A$2),ETAPP!A$1:A$32,0))&amp;INDEX(ETAPP!B$1:B$32,MATCH(COUNTIF(Z28:AI28,PVO!A$3),ETAPP!A$1:A$32,0))&amp;INDEX(ETAPP!B$1:B$32,MATCH(COUNTIF(Z28:AI28,PVO!A$4),ETAPP!A$1:A$32,0))&amp;INDEX(ETAPP!B$1:B$32,MATCH(COUNTIF(Z28:AI28,PVO!A$5),ETAPP!A$1:A$32,0))&amp;INDEX(ETAPP!B$1:B$32,MATCH(COUNTIF(Z28:AI28,PVO!A$6),ETAPP!A$1:A$32,0))&amp;INDEX(ETAPP!B$1:B$32,MATCH(COUNTIF(Z28:AI28,PVO!A$7),ETAPP!A$1:A$32,0))&amp;INDEX(ETAPP!B$1:B$32,MATCH(COUNTIF(Z28:AI28,PVO!A$8),ETAPP!A$1:A$32,0))&amp;INDEX(ETAPP!B$1:B$32,MATCH(COUNTIF(Z28:AI28,PVO!A$9),ETAPP!A$1:A$32,0))&amp;INDEX(ETAPP!B$1:B$32,MATCH(COUNTIF(Z28:AI28,PVO!A$10),ETAPP!A$1:A$32,0))&amp;INDEX(ETAPP!B$1:B$32,MATCH(COUNTIF(Z28:AI28,PVO!A$11),ETAPP!A$1:A$32,0))&amp;INDEX(ETAPP!B$1:B$32,MATCH(COUNTIF(Z28:AI28,PVO!A$12),ETAPP!A$1:A$32,0))&amp;INDEX(ETAPP!B$1:B$32,MATCH(COUNTIF(Z28:AI28,PVO!A$13),ETAPP!A$1:A$32,0))&amp;INDEX(ETAPP!B$1:B$32,MATCH(COUNTIF(Z28:AI28,PVO!A$14),ETAPP!A$1:A$32,0))&amp;INDEX(ETAPP!B$1:B$32,MATCH(COUNTIF(Z28:AI28,PVO!A$15),ETAPP!A$1:A$32,0))&amp;INDEX(ETAPP!B$1:B$32,MATCH(COUNTIF(Z28:AI28,PVO!A$16),ETAPP!A$1:A$32,0))&amp;INDEX(ETAPP!B$1:B$32,MATCH(COUNTIF(Z28:AI28,PVO!A$17),ETAPP!A$1:A$32,0))&amp;INDEX(ETAPP!B$1:B$32,MATCH(COUNTIF(Z28:AI28,PVO!A$18),ETAPP!A$1:A$32,0))&amp;INDEX(ETAPP!B$1:B$32,MATCH(COUNTIF(Z28:AI28,PVO!A$19),ETAPP!A$1:A$32,0))</f>
        <v>0A000A00B0A00A00000</v>
      </c>
      <c r="T28" s="597" t="str">
        <f t="shared" si="5"/>
        <v>075,0-0A000A00B0A00A00000</v>
      </c>
      <c r="U28" s="597">
        <f>COUNTIF(T$7:T$62,"&gt;="&amp;T28)</f>
        <v>22</v>
      </c>
      <c r="V28" s="597">
        <f>COUNTIF(L$7:L$62,"&gt;="&amp;L28)</f>
        <v>9</v>
      </c>
      <c r="W28" s="597" t="str">
        <f t="shared" si="6"/>
        <v>075,0-0A000A00B0A00A00000-009</v>
      </c>
      <c r="X28" s="597">
        <f>COUNTIF(W$7:W$62,"&gt;="&amp;W28)</f>
        <v>22</v>
      </c>
      <c r="Y28" s="598">
        <f>RANK(X28,X$7:X$62,0)</f>
        <v>35</v>
      </c>
      <c r="Z28" s="599">
        <f>IFERROR(INDEX('V1'!C$300:C$400,MATCH("*"&amp;L28&amp;"*",'V1'!B$300:B$400,0)),"  ")</f>
        <v>12</v>
      </c>
      <c r="AA28" s="599">
        <f>IFERROR(INDEX('V2'!C$300:C$400,MATCH("*"&amp;L28&amp;"*",'V2'!B$300:B$400,0)),"  ")</f>
        <v>12</v>
      </c>
      <c r="AB28" s="599">
        <f>IFERROR(INDEX('V3'!C$300:C$400,MATCH("*"&amp;L28&amp;"*",'V3'!B$300:B$400,0)),"  ")</f>
        <v>15</v>
      </c>
      <c r="AC28" s="599">
        <f>IFERROR(INDEX('V4'!C$300:C$400,MATCH("*"&amp;L28&amp;"*",'V4'!B$300:B$400,0)),"  ")</f>
        <v>10</v>
      </c>
      <c r="AD28" s="599" t="str">
        <f>IFERROR(INDEX('V5'!C$300:C$400,MATCH("*"&amp;L28&amp;"*",'V5'!B$300:B$400,0)),"  ")</f>
        <v xml:space="preserve">  </v>
      </c>
      <c r="AE28" s="599">
        <f>IFERROR(INDEX('V6'!C$300:C$400,MATCH("*"&amp;L28&amp;"*",'V6'!B$300:B$400,0)),"  ")</f>
        <v>7</v>
      </c>
      <c r="AF28" s="599" t="str">
        <f>IFERROR(INDEX('V7'!C$300:C$400,MATCH("*"&amp;L28&amp;"*",'V7'!B$300:B$400,0)),"  ")</f>
        <v xml:space="preserve">  </v>
      </c>
      <c r="AG28" s="599" t="str">
        <f>IFERROR(INDEX('V8'!C$300:C$400,MATCH("*"&amp;L28&amp;"*",'V8'!B$300:B$400,0)),"  ")</f>
        <v xml:space="preserve">  </v>
      </c>
      <c r="AH28" s="599" t="str">
        <f>IFERROR(INDEX('V9'!C$300:C$400,MATCH("*"&amp;L28&amp;"*",'V9'!B$300:B$400,0)),"  ")</f>
        <v xml:space="preserve">  </v>
      </c>
      <c r="AI28" s="599">
        <f>IFERROR(INDEX('V10'!C$300:C$400,MATCH("*"&amp;L28&amp;"*",'V10'!B$300:B$400,0)),"  ")</f>
        <v>19</v>
      </c>
      <c r="AJ28" s="600">
        <f t="shared" si="7"/>
        <v>1</v>
      </c>
      <c r="AK28" s="600">
        <f t="shared" si="8"/>
        <v>35</v>
      </c>
      <c r="AL28" s="601" t="str">
        <f>IFERROR("edasi "&amp;RANK(AK28,AK$7:AK$62,0),K28)</f>
        <v>edasi 22</v>
      </c>
      <c r="AM28" s="602" t="str">
        <f>IFERROR(INDEX('V-fin'!A$300:A$400,MATCH("*"&amp;L28&amp;"*",'V-fin'!B$300:B$400,0)),"  ")</f>
        <v xml:space="preserve">  </v>
      </c>
      <c r="AN28" s="603">
        <f t="shared" si="9"/>
        <v>6</v>
      </c>
      <c r="AO28" s="604">
        <f>IFERROR(IF(Z28+1&gt;LARGE(Z$7:Z$62,1)-2,1),0)+IFERROR(IF(AA28+1&gt;LARGE(AA$7:AA$62,1)-2,1),0)+IFERROR(IF(AB28+1&gt;LARGE(AB$7:AB$62,1)-2,1),0)+IFERROR(IF(AC28+1&gt;LARGE(AC$7:AC$62,1)-2,1),0)+IFERROR(IF(AD28+1&gt;LARGE(AD$7:AD$62,1)-2,1),0)+IFERROR(IF(AE28+1&gt;LARGE(AE$7:AE$62,1)-2,1),0)+IFERROR(IF(AF28+1&gt;LARGE(AF$7:AF$62,1)-2,1),0)+IFERROR(IF(AG28+1&gt;LARGE(AG$7:AG$62,1)-2,1),0)+IFERROR(IF(AH28+1&gt;LARGE(AH$7:AH$62,1)-2,1),0)+IFERROR(IF(AI28+1&gt;LARGE(AI$7:AI$62,1)-2,1),0)</f>
        <v>1</v>
      </c>
      <c r="AP28" s="604">
        <f>IF(Z28=0,0,IF(Z28=IFERROR(LARGE(Z$7:Z$62,1),0),1,0))+IF(AA28=0,0,IF(AA28=IFERROR(LARGE(AA$7:AA$62,1),0),1,0))+IF(AB28=0,0,IF(AB28=IFERROR(LARGE(AB$7:AB$62,1),0),1,0))+IF(AC28=0,0,IF(AC28=IFERROR(LARGE(AC$7:AC$62,1),0),1,0))+IF(AD28=0,0,IF(AD28=IFERROR(LARGE(AD$7:AD$62,1),0),1,0))+IF(AE28=0,0,IF(AE28=IFERROR(LARGE(AE$7:AE$62,1),0),1,0))+IF(AF28=0,0,IF(AF28=IFERROR(LARGE(AF$7:AF$62,1),0),1,0))+IF(AG28=0,0,IF(AG28=IFERROR(LARGE(AG$7:AG$62,1),0),1,0))+IF(AH28=0,0,IF(AH28=IFERROR(LARGE(AH$7:AH$62,1),0),1,0))+IF(AI28=0,0,IF(AI28=IFERROR(LARGE(AI$7:AI$62,1),0),1,0))</f>
        <v>0</v>
      </c>
      <c r="AQ28" s="512"/>
      <c r="AR28" s="605"/>
      <c r="AS28" s="606"/>
      <c r="AT28" s="606"/>
      <c r="AU28" s="606"/>
      <c r="AV28" s="606"/>
      <c r="AW28" s="605">
        <f t="shared" si="10"/>
        <v>5.0000000000000001E-4</v>
      </c>
      <c r="AX28" s="606">
        <f t="shared" si="11"/>
        <v>12.0001</v>
      </c>
      <c r="AY28" s="606">
        <f t="shared" si="11"/>
        <v>12.0002</v>
      </c>
      <c r="AZ28" s="606">
        <f t="shared" si="11"/>
        <v>15.000299999999999</v>
      </c>
      <c r="BA28" s="606">
        <f t="shared" si="11"/>
        <v>10.000400000000001</v>
      </c>
      <c r="BB28" s="606">
        <f t="shared" si="11"/>
        <v>5.0000000000000001E-4</v>
      </c>
      <c r="BC28" s="606">
        <f t="shared" si="11"/>
        <v>7.0006000000000004</v>
      </c>
      <c r="BD28" s="606">
        <f t="shared" si="11"/>
        <v>6.9999999999999999E-4</v>
      </c>
      <c r="BE28" s="606">
        <f t="shared" si="11"/>
        <v>8.0000000000000004E-4</v>
      </c>
      <c r="BF28" s="606">
        <f t="shared" si="11"/>
        <v>8.9999999999999998E-4</v>
      </c>
      <c r="BG28" s="606">
        <f t="shared" si="11"/>
        <v>19.001000000000001</v>
      </c>
    </row>
    <row r="29" spans="1:59" x14ac:dyDescent="0.2">
      <c r="A29" s="583">
        <f>IF(R29&gt;0,IF(Q29="v",RANK(B29,B$7:B$62,1)-COUNTBLANK(Q$7:Q$62),""),"")</f>
        <v>18</v>
      </c>
      <c r="B29" s="584">
        <f t="shared" si="0"/>
        <v>23</v>
      </c>
      <c r="C29" s="585">
        <f>IF(R29&gt;0,IF(P29="k",RANK(D29,D$7:D$62,1)-COUNTBLANK(P$7:P$62),""),"")</f>
        <v>8</v>
      </c>
      <c r="D29" s="584">
        <f t="shared" si="1"/>
        <v>23</v>
      </c>
      <c r="E29" s="586">
        <f>IF(R29&gt;0,IF(N29="m",RANK(F29,F$7:F$62,1)-COUNTBLANK(N$7:N$62),""),"")</f>
        <v>21</v>
      </c>
      <c r="F29" s="584">
        <f t="shared" si="2"/>
        <v>23</v>
      </c>
      <c r="G29" s="587" t="str">
        <f>IF(R29&gt;0,IF(M29="n",RANK(H29,H$7:H$62,1)-COUNTBLANK(M$7:M$62),""),"")</f>
        <v/>
      </c>
      <c r="H29" s="584">
        <f t="shared" si="3"/>
        <v>-977</v>
      </c>
      <c r="I29" s="588" t="str">
        <f>IF(R29&gt;0,IF(O29="j",RANK(J29,J$7:J$62,1)-COUNTBLANK(O$7:O$62),""),"")</f>
        <v/>
      </c>
      <c r="J29" s="589">
        <f t="shared" si="4"/>
        <v>-977</v>
      </c>
      <c r="K29" s="548">
        <f>IF(R29&gt;0,RANK(U29,U$7:U$62,1),"")</f>
        <v>23</v>
      </c>
      <c r="L29" s="607" t="s">
        <v>241</v>
      </c>
      <c r="M29" s="591"/>
      <c r="N29" s="592" t="s">
        <v>321</v>
      </c>
      <c r="O29" s="593"/>
      <c r="P29" s="594" t="s">
        <v>320</v>
      </c>
      <c r="Q29" s="595" t="s">
        <v>319</v>
      </c>
      <c r="R29" s="596">
        <f>(IF(COUNT(Z29,AA29,AB29,AC29,AD29,AE29,AF29,AG29,AH29,AI29)&lt;9,SUM(Z29,AA29,AB29,AC29,AD29,AE29,AF29,AG29,AH29,AI29),SUM(LARGE((Z29,AA29,AB29,AC29,AD29,AE29,AF29,AG29,AH29,AI29),{1;2;3;4;5;6;7;8;9}))))</f>
        <v>75</v>
      </c>
      <c r="S29" s="597" t="str">
        <f>INDEX(ETAPP!B$1:B$32,MATCH(COUNTIF(Z29:AI29,PVO!A$1),ETAPP!A$1:A$32,0))&amp;INDEX(ETAPP!B$1:B$32,MATCH(COUNTIF(Z29:AI29,PVO!A$2),ETAPP!A$1:A$32,0))&amp;INDEX(ETAPP!B$1:B$32,MATCH(COUNTIF(Z29:AI29,PVO!A$3),ETAPP!A$1:A$32,0))&amp;INDEX(ETAPP!B$1:B$32,MATCH(COUNTIF(Z29:AI29,PVO!A$4),ETAPP!A$1:A$32,0))&amp;INDEX(ETAPP!B$1:B$32,MATCH(COUNTIF(Z29:AI29,PVO!A$5),ETAPP!A$1:A$32,0))&amp;INDEX(ETAPP!B$1:B$32,MATCH(COUNTIF(Z29:AI29,PVO!A$6),ETAPP!A$1:A$32,0))&amp;INDEX(ETAPP!B$1:B$32,MATCH(COUNTIF(Z29:AI29,PVO!A$7),ETAPP!A$1:A$32,0))&amp;INDEX(ETAPP!B$1:B$32,MATCH(COUNTIF(Z29:AI29,PVO!A$8),ETAPP!A$1:A$32,0))&amp;INDEX(ETAPP!B$1:B$32,MATCH(COUNTIF(Z29:AI29,PVO!A$9),ETAPP!A$1:A$32,0))&amp;INDEX(ETAPP!B$1:B$32,MATCH(COUNTIF(Z29:AI29,PVO!A$10),ETAPP!A$1:A$32,0))&amp;INDEX(ETAPP!B$1:B$32,MATCH(COUNTIF(Z29:AI29,PVO!A$11),ETAPP!A$1:A$32,0))&amp;INDEX(ETAPP!B$1:B$32,MATCH(COUNTIF(Z29:AI29,PVO!A$12),ETAPP!A$1:A$32,0))&amp;INDEX(ETAPP!B$1:B$32,MATCH(COUNTIF(Z29:AI29,PVO!A$13),ETAPP!A$1:A$32,0))&amp;INDEX(ETAPP!B$1:B$32,MATCH(COUNTIF(Z29:AI29,PVO!A$14),ETAPP!A$1:A$32,0))&amp;INDEX(ETAPP!B$1:B$32,MATCH(COUNTIF(Z29:AI29,PVO!A$15),ETAPP!A$1:A$32,0))&amp;INDEX(ETAPP!B$1:B$32,MATCH(COUNTIF(Z29:AI29,PVO!A$16),ETAPP!A$1:A$32,0))&amp;INDEX(ETAPP!B$1:B$32,MATCH(COUNTIF(Z29:AI29,PVO!A$17),ETAPP!A$1:A$32,0))&amp;INDEX(ETAPP!B$1:B$32,MATCH(COUNTIF(Z29:AI29,PVO!A$18),ETAPP!A$1:A$32,0))&amp;INDEX(ETAPP!B$1:B$32,MATCH(COUNTIF(Z29:AI29,PVO!A$19),ETAPP!A$1:A$32,0))</f>
        <v>00A000AAAA000A00000</v>
      </c>
      <c r="T29" s="597" t="str">
        <f t="shared" si="5"/>
        <v>075,0-00A000AAAA000A00000</v>
      </c>
      <c r="U29" s="597">
        <f>COUNTIF(T$7:T$62,"&gt;="&amp;T29)</f>
        <v>23</v>
      </c>
      <c r="V29" s="597">
        <f>COUNTIF(L$7:L$62,"&gt;="&amp;L29)</f>
        <v>6</v>
      </c>
      <c r="W29" s="597" t="str">
        <f t="shared" si="6"/>
        <v>075,0-00A000AAAA000A00000-006</v>
      </c>
      <c r="X29" s="597">
        <f>COUNTIF(W$7:W$62,"&gt;="&amp;W29)</f>
        <v>23</v>
      </c>
      <c r="Y29" s="598">
        <f>RANK(X29,X$7:X$62,0)</f>
        <v>34</v>
      </c>
      <c r="Z29" s="599" t="str">
        <f>IFERROR(INDEX('V1'!C$300:C$400,MATCH("*"&amp;L29&amp;"*",'V1'!B$300:B$400,0)),"  ")</f>
        <v xml:space="preserve">  </v>
      </c>
      <c r="AA29" s="599" t="str">
        <f>IFERROR(INDEX('V2'!C$300:C$400,MATCH("*"&amp;L29&amp;"*",'V2'!B$300:B$400,0)),"  ")</f>
        <v xml:space="preserve">  </v>
      </c>
      <c r="AB29" s="599">
        <f>IFERROR(INDEX('V3'!C$300:C$400,MATCH("*"&amp;L29&amp;"*",'V3'!B$300:B$400,0)),"  ")</f>
        <v>18</v>
      </c>
      <c r="AC29" s="599">
        <f>IFERROR(INDEX('V4'!C$300:C$400,MATCH("*"&amp;L29&amp;"*",'V4'!B$300:B$400,0)),"  ")</f>
        <v>11</v>
      </c>
      <c r="AD29" s="599">
        <f>IFERROR(INDEX('V5'!C$300:C$400,MATCH("*"&amp;L29&amp;"*",'V5'!B$300:B$400,0)),"  ")</f>
        <v>7</v>
      </c>
      <c r="AE29" s="599" t="str">
        <f>IFERROR(INDEX('V6'!C$300:C$400,MATCH("*"&amp;L29&amp;"*",'V6'!B$300:B$400,0)),"  ")</f>
        <v xml:space="preserve">  </v>
      </c>
      <c r="AF29" s="599">
        <f>IFERROR(INDEX('V7'!C$300:C$400,MATCH("*"&amp;L29&amp;"*",'V7'!B$300:B$400,0)),"  ")</f>
        <v>13</v>
      </c>
      <c r="AG29" s="599">
        <f>IFERROR(INDEX('V8'!C$300:C$400,MATCH("*"&amp;L29&amp;"*",'V8'!B$300:B$400,0)),"  ")</f>
        <v>12</v>
      </c>
      <c r="AH29" s="599">
        <f>IFERROR(INDEX('V9'!C$300:C$400,MATCH("*"&amp;L29&amp;"*",'V9'!B$300:B$400,0)),"  ")</f>
        <v>14</v>
      </c>
      <c r="AI29" s="599" t="str">
        <f>IFERROR(INDEX('V10'!C$300:C$400,MATCH("*"&amp;L29&amp;"*",'V10'!B$300:B$400,0)),"  ")</f>
        <v xml:space="preserve">  </v>
      </c>
      <c r="AJ29" s="600">
        <f t="shared" si="7"/>
        <v>1</v>
      </c>
      <c r="AK29" s="600">
        <f t="shared" si="8"/>
        <v>34</v>
      </c>
      <c r="AL29" s="601" t="str">
        <f>IFERROR("edasi "&amp;RANK(AK29,AK$7:AK$62,0),K29)</f>
        <v>edasi 23</v>
      </c>
      <c r="AM29" s="602">
        <f>IFERROR(INDEX('V-fin'!A$300:A$400,MATCH("*"&amp;L29&amp;"*",'V-fin'!B$300:B$400,0)),"  ")</f>
        <v>15</v>
      </c>
      <c r="AN29" s="603">
        <f t="shared" si="9"/>
        <v>6</v>
      </c>
      <c r="AO29" s="604">
        <f>IFERROR(IF(Z29+1&gt;LARGE(Z$7:Z$62,1)-2,1),0)+IFERROR(IF(AA29+1&gt;LARGE(AA$7:AA$62,1)-2,1),0)+IFERROR(IF(AB29+1&gt;LARGE(AB$7:AB$62,1)-2,1),0)+IFERROR(IF(AC29+1&gt;LARGE(AC$7:AC$62,1)-2,1),0)+IFERROR(IF(AD29+1&gt;LARGE(AD$7:AD$62,1)-2,1),0)+IFERROR(IF(AE29+1&gt;LARGE(AE$7:AE$62,1)-2,1),0)+IFERROR(IF(AF29+1&gt;LARGE(AF$7:AF$62,1)-2,1),0)+IFERROR(IF(AG29+1&gt;LARGE(AG$7:AG$62,1)-2,1),0)+IFERROR(IF(AH29+1&gt;LARGE(AH$7:AH$62,1)-2,1),0)+IFERROR(IF(AI29+1&gt;LARGE(AI$7:AI$62,1)-2,1),0)</f>
        <v>1</v>
      </c>
      <c r="AP29" s="604">
        <f>IF(Z29=0,0,IF(Z29=IFERROR(LARGE(Z$7:Z$62,1),0),1,0))+IF(AA29=0,0,IF(AA29=IFERROR(LARGE(AA$7:AA$62,1),0),1,0))+IF(AB29=0,0,IF(AB29=IFERROR(LARGE(AB$7:AB$62,1),0),1,0))+IF(AC29=0,0,IF(AC29=IFERROR(LARGE(AC$7:AC$62,1),0),1,0))+IF(AD29=0,0,IF(AD29=IFERROR(LARGE(AD$7:AD$62,1),0),1,0))+IF(AE29=0,0,IF(AE29=IFERROR(LARGE(AE$7:AE$62,1),0),1,0))+IF(AF29=0,0,IF(AF29=IFERROR(LARGE(AF$7:AF$62,1),0),1,0))+IF(AG29=0,0,IF(AG29=IFERROR(LARGE(AG$7:AG$62,1),0),1,0))+IF(AH29=0,0,IF(AH29=IFERROR(LARGE(AH$7:AH$62,1),0),1,0))+IF(AI29=0,0,IF(AI29=IFERROR(LARGE(AI$7:AI$62,1),0),1,0))</f>
        <v>0</v>
      </c>
      <c r="AQ29" s="512"/>
      <c r="AR29" s="605"/>
      <c r="AS29" s="606"/>
      <c r="AT29" s="606"/>
      <c r="AU29" s="606"/>
      <c r="AV29" s="606"/>
      <c r="AW29" s="605">
        <f t="shared" si="10"/>
        <v>1E-4</v>
      </c>
      <c r="AX29" s="606">
        <f t="shared" si="11"/>
        <v>1E-4</v>
      </c>
      <c r="AY29" s="606">
        <f t="shared" si="11"/>
        <v>2.0000000000000001E-4</v>
      </c>
      <c r="AZ29" s="606">
        <f t="shared" si="11"/>
        <v>18.000299999999999</v>
      </c>
      <c r="BA29" s="606">
        <f t="shared" si="11"/>
        <v>11.000400000000001</v>
      </c>
      <c r="BB29" s="606">
        <f t="shared" si="11"/>
        <v>7.0004999999999997</v>
      </c>
      <c r="BC29" s="606">
        <f t="shared" si="11"/>
        <v>5.9999999999999995E-4</v>
      </c>
      <c r="BD29" s="606">
        <f t="shared" si="11"/>
        <v>13.0007</v>
      </c>
      <c r="BE29" s="606">
        <f t="shared" si="11"/>
        <v>12.0008</v>
      </c>
      <c r="BF29" s="606">
        <f t="shared" si="11"/>
        <v>14.0009</v>
      </c>
      <c r="BG29" s="606">
        <f t="shared" si="11"/>
        <v>1E-3</v>
      </c>
    </row>
    <row r="30" spans="1:59" x14ac:dyDescent="0.2">
      <c r="A30" s="583" t="str">
        <f>IF(R30&gt;0,IF(Q30="v",RANK(B30,B$7:B$62,1)-COUNTBLANK(Q$7:Q$62),""),"")</f>
        <v/>
      </c>
      <c r="B30" s="584">
        <f t="shared" si="0"/>
        <v>-976</v>
      </c>
      <c r="C30" s="585" t="str">
        <f>IF(R30&gt;0,IF(P30="k",RANK(D30,D$7:D$62,1)-COUNTBLANK(P$7:P$62),""),"")</f>
        <v/>
      </c>
      <c r="D30" s="584">
        <f t="shared" si="1"/>
        <v>-976</v>
      </c>
      <c r="E30" s="586">
        <f>IF(R30&gt;0,IF(N30="m",RANK(F30,F$7:F$62,1)-COUNTBLANK(N$7:N$62),""),"")</f>
        <v>22</v>
      </c>
      <c r="F30" s="584">
        <f t="shared" si="2"/>
        <v>24</v>
      </c>
      <c r="G30" s="587" t="str">
        <f>IF(R30&gt;0,IF(M30="n",RANK(H30,H$7:H$62,1)-COUNTBLANK(M$7:M$62),""),"")</f>
        <v/>
      </c>
      <c r="H30" s="584">
        <f t="shared" si="3"/>
        <v>-976</v>
      </c>
      <c r="I30" s="588" t="str">
        <f>IF(R30&gt;0,IF(O30="j",RANK(J30,J$7:J$62,1)-COUNTBLANK(O$7:O$62),""),"")</f>
        <v/>
      </c>
      <c r="J30" s="589">
        <f t="shared" si="4"/>
        <v>-976</v>
      </c>
      <c r="K30" s="621">
        <f>IF(R30&gt;0,RANK(U30,U$7:U$62,1),"")</f>
        <v>24</v>
      </c>
      <c r="L30" s="622" t="s">
        <v>20</v>
      </c>
      <c r="M30" s="623"/>
      <c r="N30" s="624" t="s">
        <v>321</v>
      </c>
      <c r="O30" s="625"/>
      <c r="P30" s="626"/>
      <c r="Q30" s="595"/>
      <c r="R30" s="596">
        <f>(IF(COUNT(Z30,AA30,AB30,AC30,AD30,AE30,AF30,AG30,AH30,AI30)&lt;9,SUM(Z30,AA30,AB30,AC30,AD30,AE30,AF30,AG30,AH30,AI30),SUM(LARGE((Z30,AA30,AB30,AC30,AD30,AE30,AF30,AG30,AH30,AI30),{1;2;3;4;5;6;7;8;9}))))</f>
        <v>74</v>
      </c>
      <c r="S30" s="627" t="str">
        <f>INDEX(ETAPP!B$1:B$32,MATCH(COUNTIF(Z30:AI30,PVO!A$1),ETAPP!A$1:A$32,0))&amp;INDEX(ETAPP!B$1:B$32,MATCH(COUNTIF(Z30:AI30,PVO!A$2),ETAPP!A$1:A$32,0))&amp;INDEX(ETAPP!B$1:B$32,MATCH(COUNTIF(Z30:AI30,PVO!A$3),ETAPP!A$1:A$32,0))&amp;INDEX(ETAPP!B$1:B$32,MATCH(COUNTIF(Z30:AI30,PVO!A$4),ETAPP!A$1:A$32,0))&amp;INDEX(ETAPP!B$1:B$32,MATCH(COUNTIF(Z30:AI30,PVO!A$5),ETAPP!A$1:A$32,0))&amp;INDEX(ETAPP!B$1:B$32,MATCH(COUNTIF(Z30:AI30,PVO!A$6),ETAPP!A$1:A$32,0))&amp;INDEX(ETAPP!B$1:B$32,MATCH(COUNTIF(Z30:AI30,PVO!A$7),ETAPP!A$1:A$32,0))&amp;INDEX(ETAPP!B$1:B$32,MATCH(COUNTIF(Z30:AI30,PVO!A$8),ETAPP!A$1:A$32,0))&amp;INDEX(ETAPP!B$1:B$32,MATCH(COUNTIF(Z30:AI30,PVO!A$9),ETAPP!A$1:A$32,0))&amp;INDEX(ETAPP!B$1:B$32,MATCH(COUNTIF(Z30:AI30,PVO!A$10),ETAPP!A$1:A$32,0))&amp;INDEX(ETAPP!B$1:B$32,MATCH(COUNTIF(Z30:AI30,PVO!A$11),ETAPP!A$1:A$32,0))&amp;INDEX(ETAPP!B$1:B$32,MATCH(COUNTIF(Z30:AI30,PVO!A$12),ETAPP!A$1:A$32,0))&amp;INDEX(ETAPP!B$1:B$32,MATCH(COUNTIF(Z30:AI30,PVO!A$13),ETAPP!A$1:A$32,0))&amp;INDEX(ETAPP!B$1:B$32,MATCH(COUNTIF(Z30:AI30,PVO!A$14),ETAPP!A$1:A$32,0))&amp;INDEX(ETAPP!B$1:B$32,MATCH(COUNTIF(Z30:AI30,PVO!A$15),ETAPP!A$1:A$32,0))&amp;INDEX(ETAPP!B$1:B$32,MATCH(COUNTIF(Z30:AI30,PVO!A$16),ETAPP!A$1:A$32,0))&amp;INDEX(ETAPP!B$1:B$32,MATCH(COUNTIF(Z30:AI30,PVO!A$17),ETAPP!A$1:A$32,0))&amp;INDEX(ETAPP!B$1:B$32,MATCH(COUNTIF(Z30:AI30,PVO!A$18),ETAPP!A$1:A$32,0))&amp;INDEX(ETAPP!B$1:B$32,MATCH(COUNTIF(Z30:AI30,PVO!A$19),ETAPP!A$1:A$32,0))</f>
        <v>BA000A0000000000000</v>
      </c>
      <c r="T30" s="627" t="str">
        <f t="shared" si="5"/>
        <v>074,0-BA000A0000000000000</v>
      </c>
      <c r="U30" s="627">
        <f>COUNTIF(T$7:T$62,"&gt;="&amp;T30)</f>
        <v>24</v>
      </c>
      <c r="V30" s="627">
        <f>COUNTIF(L$7:L$62,"&gt;="&amp;L30)</f>
        <v>41</v>
      </c>
      <c r="W30" s="627" t="str">
        <f t="shared" si="6"/>
        <v>074,0-BA000A0000000000000-041</v>
      </c>
      <c r="X30" s="627">
        <f>COUNTIF(W$7:W$62,"&gt;="&amp;W30)</f>
        <v>24</v>
      </c>
      <c r="Y30" s="628">
        <f>RANK(X30,X$7:X$62,0)</f>
        <v>33</v>
      </c>
      <c r="Z30" s="599" t="str">
        <f>IFERROR(INDEX('V1'!C$300:C$400,MATCH("*"&amp;L30&amp;"*",'V1'!B$300:B$400,0)),"  ")</f>
        <v xml:space="preserve">  </v>
      </c>
      <c r="AA30" s="599" t="str">
        <f>IFERROR(INDEX('V2'!C$300:C$400,MATCH("*"&amp;L30&amp;"*",'V2'!B$300:B$400,0)),"  ")</f>
        <v xml:space="preserve">  </v>
      </c>
      <c r="AB30" s="599">
        <f>IFERROR(INDEX('V3'!C$300:C$400,MATCH("*"&amp;L30&amp;"*",'V3'!B$300:B$400,0)),"  ")</f>
        <v>15</v>
      </c>
      <c r="AC30" s="599" t="str">
        <f>IFERROR(INDEX('V4'!C$300:C$400,MATCH("*"&amp;L30&amp;"*",'V4'!B$300:B$400,0)),"  ")</f>
        <v xml:space="preserve">  </v>
      </c>
      <c r="AD30" s="599">
        <f>IFERROR(INDEX('V5'!C$300:C$400,MATCH("*"&amp;L30&amp;"*",'V5'!B$300:B$400,0)),"  ")</f>
        <v>20</v>
      </c>
      <c r="AE30" s="599">
        <f>IFERROR(INDEX('V6'!C$300:C$400,MATCH("*"&amp;L30&amp;"*",'V6'!B$300:B$400,0)),"  ")</f>
        <v>20</v>
      </c>
      <c r="AF30" s="599">
        <f>IFERROR(INDEX('V7'!C$300:C$400,MATCH("*"&amp;L30&amp;"*",'V7'!B$300:B$400,0)),"  ")</f>
        <v>19</v>
      </c>
      <c r="AG30" s="599" t="str">
        <f>IFERROR(INDEX('V8'!C$300:C$400,MATCH("*"&amp;L30&amp;"*",'V8'!B$300:B$400,0)),"  ")</f>
        <v xml:space="preserve">  </v>
      </c>
      <c r="AH30" s="599" t="str">
        <f>IFERROR(INDEX('V9'!C$300:C$400,MATCH("*"&amp;L30&amp;"*",'V9'!B$300:B$400,0)),"  ")</f>
        <v xml:space="preserve">  </v>
      </c>
      <c r="AI30" s="599" t="str">
        <f>IFERROR(INDEX('V10'!C$300:C$400,MATCH("*"&amp;L30&amp;"*",'V10'!B$300:B$400,0)),"  ")</f>
        <v xml:space="preserve">  </v>
      </c>
      <c r="AJ30" s="600">
        <f t="shared" si="7"/>
        <v>1</v>
      </c>
      <c r="AK30" s="600">
        <f t="shared" si="8"/>
        <v>33</v>
      </c>
      <c r="AL30" s="601" t="str">
        <f>IFERROR("edasi "&amp;RANK(AK30,AK$7:AK$62,0),K30)</f>
        <v>edasi 24</v>
      </c>
      <c r="AM30" s="602">
        <f>IFERROR(INDEX('V-fin'!A$300:A$400,MATCH("*"&amp;L30&amp;"*",'V-fin'!B$300:B$400,0)),"  ")</f>
        <v>7</v>
      </c>
      <c r="AN30" s="603">
        <f t="shared" si="9"/>
        <v>4</v>
      </c>
      <c r="AO30" s="604">
        <f>IFERROR(IF(Z30+1&gt;LARGE(Z$7:Z$62,1)-2,1),0)+IFERROR(IF(AA30+1&gt;LARGE(AA$7:AA$62,1)-2,1),0)+IFERROR(IF(AB30+1&gt;LARGE(AB$7:AB$62,1)-2,1),0)+IFERROR(IF(AC30+1&gt;LARGE(AC$7:AC$62,1)-2,1),0)+IFERROR(IF(AD30+1&gt;LARGE(AD$7:AD$62,1)-2,1),0)+IFERROR(IF(AE30+1&gt;LARGE(AE$7:AE$62,1)-2,1),0)+IFERROR(IF(AF30+1&gt;LARGE(AF$7:AF$62,1)-2,1),0)+IFERROR(IF(AG30+1&gt;LARGE(AG$7:AG$62,1)-2,1),0)+IFERROR(IF(AH30+1&gt;LARGE(AH$7:AH$62,1)-2,1),0)+IFERROR(IF(AI30+1&gt;LARGE(AI$7:AI$62,1)-2,1),0)</f>
        <v>3</v>
      </c>
      <c r="AP30" s="604">
        <f>IF(Z30=0,0,IF(Z30=IFERROR(LARGE(Z$7:Z$62,1),0),1,0))+IF(AA30=0,0,IF(AA30=IFERROR(LARGE(AA$7:AA$62,1),0),1,0))+IF(AB30=0,0,IF(AB30=IFERROR(LARGE(AB$7:AB$62,1),0),1,0))+IF(AC30=0,0,IF(AC30=IFERROR(LARGE(AC$7:AC$62,1),0),1,0))+IF(AD30=0,0,IF(AD30=IFERROR(LARGE(AD$7:AD$62,1),0),1,0))+IF(AE30=0,0,IF(AE30=IFERROR(LARGE(AE$7:AE$62,1),0),1,0))+IF(AF30=0,0,IF(AF30=IFERROR(LARGE(AF$7:AF$62,1),0),1,0))+IF(AG30=0,0,IF(AG30=IFERROR(LARGE(AG$7:AG$62,1),0),1,0))+IF(AH30=0,0,IF(AH30=IFERROR(LARGE(AH$7:AH$62,1),0),1,0))+IF(AI30=0,0,IF(AI30=IFERROR(LARGE(AI$7:AI$62,1),0),1,0))</f>
        <v>2</v>
      </c>
      <c r="AQ30" s="512"/>
      <c r="AR30" s="605"/>
      <c r="AS30" s="606"/>
      <c r="AT30" s="606"/>
      <c r="AU30" s="606"/>
      <c r="AV30" s="606"/>
      <c r="AW30" s="605">
        <f t="shared" si="10"/>
        <v>1E-4</v>
      </c>
      <c r="AX30" s="606">
        <f t="shared" si="11"/>
        <v>1E-4</v>
      </c>
      <c r="AY30" s="606">
        <f t="shared" si="11"/>
        <v>2.0000000000000001E-4</v>
      </c>
      <c r="AZ30" s="606">
        <f t="shared" si="11"/>
        <v>15.000299999999999</v>
      </c>
      <c r="BA30" s="606">
        <f t="shared" si="11"/>
        <v>4.0000000000000002E-4</v>
      </c>
      <c r="BB30" s="606">
        <f t="shared" si="11"/>
        <v>20.000499999999999</v>
      </c>
      <c r="BC30" s="606">
        <f t="shared" si="11"/>
        <v>20.000599999999999</v>
      </c>
      <c r="BD30" s="606">
        <f t="shared" si="11"/>
        <v>19.000699999999998</v>
      </c>
      <c r="BE30" s="606">
        <f t="shared" si="11"/>
        <v>8.0000000000000004E-4</v>
      </c>
      <c r="BF30" s="606">
        <f t="shared" si="11"/>
        <v>8.9999999999999998E-4</v>
      </c>
      <c r="BG30" s="606">
        <f t="shared" si="11"/>
        <v>1E-3</v>
      </c>
    </row>
    <row r="31" spans="1:59" x14ac:dyDescent="0.2">
      <c r="A31" s="583" t="str">
        <f>IF(R31&gt;0,IF(Q31="v",RANK(B31,B$7:B$62,1)-COUNTBLANK(Q$7:Q$62),""),"")</f>
        <v/>
      </c>
      <c r="B31" s="584">
        <f t="shared" si="0"/>
        <v>-975</v>
      </c>
      <c r="C31" s="585" t="str">
        <f>IF(R31&gt;0,IF(P31="k",RANK(D31,D$7:D$62,1)-COUNTBLANK(P$7:P$62),""),"")</f>
        <v/>
      </c>
      <c r="D31" s="584">
        <f t="shared" si="1"/>
        <v>-975</v>
      </c>
      <c r="E31" s="586">
        <f>IF(R31&gt;0,IF(N31="m",RANK(F31,F$7:F$62,1)-COUNTBLANK(N$7:N$62),""),"")</f>
        <v>23</v>
      </c>
      <c r="F31" s="584">
        <f t="shared" si="2"/>
        <v>25</v>
      </c>
      <c r="G31" s="587" t="str">
        <f>IF(R31&gt;0,IF(M31="n",RANK(H31,H$7:H$62,1)-COUNTBLANK(M$7:M$62),""),"")</f>
        <v/>
      </c>
      <c r="H31" s="584">
        <f t="shared" si="3"/>
        <v>-975</v>
      </c>
      <c r="I31" s="588" t="str">
        <f>IF(R31&gt;0,IF(O31="j",RANK(J31,J$7:J$62,1)-COUNTBLANK(O$7:O$62),""),"")</f>
        <v/>
      </c>
      <c r="J31" s="589">
        <f t="shared" si="4"/>
        <v>-975</v>
      </c>
      <c r="K31" s="548">
        <f>IF(R31&gt;0,RANK(U31,U$7:U$62,1),"")</f>
        <v>25</v>
      </c>
      <c r="L31" s="608" t="s">
        <v>221</v>
      </c>
      <c r="M31" s="591"/>
      <c r="N31" s="592" t="str">
        <f>IF(M31="","m","")</f>
        <v>m</v>
      </c>
      <c r="O31" s="593"/>
      <c r="P31" s="594"/>
      <c r="Q31" s="595"/>
      <c r="R31" s="596">
        <f>(IF(COUNT(Z31,AA31,AB31,AC31,AD31,AE31,AF31,AG31,AH31,AI31)&lt;9,SUM(Z31,AA31,AB31,AC31,AD31,AE31,AF31,AG31,AH31,AI31),SUM(LARGE((Z31,AA31,AB31,AC31,AD31,AE31,AF31,AG31,AH31,AI31),{1;2;3;4;5;6;7;8;9}))))</f>
        <v>66</v>
      </c>
      <c r="S31" s="597" t="str">
        <f>INDEX(ETAPP!B$1:B$32,MATCH(COUNTIF(Z31:AI31,PVO!A$1),ETAPP!A$1:A$32,0))&amp;INDEX(ETAPP!B$1:B$32,MATCH(COUNTIF(Z31:AI31,PVO!A$2),ETAPP!A$1:A$32,0))&amp;INDEX(ETAPP!B$1:B$32,MATCH(COUNTIF(Z31:AI31,PVO!A$3),ETAPP!A$1:A$32,0))&amp;INDEX(ETAPP!B$1:B$32,MATCH(COUNTIF(Z31:AI31,PVO!A$4),ETAPP!A$1:A$32,0))&amp;INDEX(ETAPP!B$1:B$32,MATCH(COUNTIF(Z31:AI31,PVO!A$5),ETAPP!A$1:A$32,0))&amp;INDEX(ETAPP!B$1:B$32,MATCH(COUNTIF(Z31:AI31,PVO!A$6),ETAPP!A$1:A$32,0))&amp;INDEX(ETAPP!B$1:B$32,MATCH(COUNTIF(Z31:AI31,PVO!A$7),ETAPP!A$1:A$32,0))&amp;INDEX(ETAPP!B$1:B$32,MATCH(COUNTIF(Z31:AI31,PVO!A$8),ETAPP!A$1:A$32,0))&amp;INDEX(ETAPP!B$1:B$32,MATCH(COUNTIF(Z31:AI31,PVO!A$9),ETAPP!A$1:A$32,0))&amp;INDEX(ETAPP!B$1:B$32,MATCH(COUNTIF(Z31:AI31,PVO!A$10),ETAPP!A$1:A$32,0))&amp;INDEX(ETAPP!B$1:B$32,MATCH(COUNTIF(Z31:AI31,PVO!A$11),ETAPP!A$1:A$32,0))&amp;INDEX(ETAPP!B$1:B$32,MATCH(COUNTIF(Z31:AI31,PVO!A$12),ETAPP!A$1:A$32,0))&amp;INDEX(ETAPP!B$1:B$32,MATCH(COUNTIF(Z31:AI31,PVO!A$13),ETAPP!A$1:A$32,0))&amp;INDEX(ETAPP!B$1:B$32,MATCH(COUNTIF(Z31:AI31,PVO!A$14),ETAPP!A$1:A$32,0))&amp;INDEX(ETAPP!B$1:B$32,MATCH(COUNTIF(Z31:AI31,PVO!A$15),ETAPP!A$1:A$32,0))&amp;INDEX(ETAPP!B$1:B$32,MATCH(COUNTIF(Z31:AI31,PVO!A$16),ETAPP!A$1:A$32,0))&amp;INDEX(ETAPP!B$1:B$32,MATCH(COUNTIF(Z31:AI31,PVO!A$17),ETAPP!A$1:A$32,0))&amp;INDEX(ETAPP!B$1:B$32,MATCH(COUNTIF(Z31:AI31,PVO!A$18),ETAPP!A$1:A$32,0))&amp;INDEX(ETAPP!B$1:B$32,MATCH(COUNTIF(Z31:AI31,PVO!A$19),ETAPP!A$1:A$32,0))</f>
        <v>AA00A0000A000000000</v>
      </c>
      <c r="T31" s="597" t="str">
        <f t="shared" si="5"/>
        <v>066,0-AA00A0000A000000000</v>
      </c>
      <c r="U31" s="597">
        <f>COUNTIF(T$7:T$62,"&gt;="&amp;T31)</f>
        <v>25</v>
      </c>
      <c r="V31" s="597">
        <f>COUNTIF(L$7:L$62,"&gt;="&amp;L31)</f>
        <v>39</v>
      </c>
      <c r="W31" s="597" t="str">
        <f t="shared" si="6"/>
        <v>066,0-AA00A0000A000000000-039</v>
      </c>
      <c r="X31" s="597">
        <f>COUNTIF(W$7:W$62,"&gt;="&amp;W31)</f>
        <v>25</v>
      </c>
      <c r="Y31" s="598">
        <f>RANK(X31,X$7:X$62,0)</f>
        <v>32</v>
      </c>
      <c r="Z31" s="599" t="str">
        <f>IFERROR(INDEX('V1'!C$300:C$400,MATCH("*"&amp;L31&amp;"*",'V1'!B$300:B$400,0)),"  ")</f>
        <v xml:space="preserve">  </v>
      </c>
      <c r="AA31" s="599">
        <f>IFERROR(INDEX('V2'!C$300:C$400,MATCH("*"&amp;L31&amp;"*",'V2'!B$300:B$400,0)),"  ")</f>
        <v>11</v>
      </c>
      <c r="AB31" s="599" t="str">
        <f>IFERROR(INDEX('V3'!C$300:C$400,MATCH("*"&amp;L31&amp;"*",'V3'!B$300:B$400,0)),"  ")</f>
        <v xml:space="preserve">  </v>
      </c>
      <c r="AC31" s="599" t="str">
        <f>IFERROR(INDEX('V4'!C$300:C$400,MATCH("*"&amp;L31&amp;"*",'V4'!B$300:B$400,0)),"  ")</f>
        <v xml:space="preserve">  </v>
      </c>
      <c r="AD31" s="599" t="str">
        <f>IFERROR(INDEX('V5'!C$300:C$400,MATCH("*"&amp;L31&amp;"*",'V5'!B$300:B$400,0)),"  ")</f>
        <v xml:space="preserve">  </v>
      </c>
      <c r="AE31" s="599">
        <f>IFERROR(INDEX('V6'!C$300:C$400,MATCH("*"&amp;L31&amp;"*",'V6'!B$300:B$400,0)),"  ")</f>
        <v>16</v>
      </c>
      <c r="AF31" s="599" t="str">
        <f>IFERROR(INDEX('V7'!C$300:C$400,MATCH("*"&amp;L31&amp;"*",'V7'!B$300:B$400,0)),"  ")</f>
        <v xml:space="preserve">  </v>
      </c>
      <c r="AG31" s="599" t="str">
        <f>IFERROR(INDEX('V8'!C$300:C$400,MATCH("*"&amp;L31&amp;"*",'V8'!B$300:B$400,0)),"  ")</f>
        <v xml:space="preserve">  </v>
      </c>
      <c r="AH31" s="599">
        <f>IFERROR(INDEX('V9'!C$300:C$400,MATCH("*"&amp;L31&amp;"*",'V9'!B$300:B$400,0)),"  ")</f>
        <v>19</v>
      </c>
      <c r="AI31" s="599">
        <f>IFERROR(INDEX('V10'!C$300:C$400,MATCH("*"&amp;L31&amp;"*",'V10'!B$300:B$400,0)),"  ")</f>
        <v>20</v>
      </c>
      <c r="AJ31" s="600">
        <f t="shared" si="7"/>
        <v>1</v>
      </c>
      <c r="AK31" s="600">
        <f t="shared" si="8"/>
        <v>32</v>
      </c>
      <c r="AL31" s="601" t="str">
        <f>IFERROR("edasi "&amp;RANK(AK31,AK$7:AK$62,0),K31)</f>
        <v>edasi 25</v>
      </c>
      <c r="AM31" s="602">
        <f>IFERROR(INDEX('V-fin'!A$300:A$400,MATCH("*"&amp;L31&amp;"*",'V-fin'!B$300:B$400,0)),"  ")</f>
        <v>16</v>
      </c>
      <c r="AN31" s="603">
        <f t="shared" si="9"/>
        <v>4</v>
      </c>
      <c r="AO31" s="604">
        <f>IFERROR(IF(Z31+1&gt;LARGE(Z$7:Z$62,1)-2,1),0)+IFERROR(IF(AA31+1&gt;LARGE(AA$7:AA$62,1)-2,1),0)+IFERROR(IF(AB31+1&gt;LARGE(AB$7:AB$62,1)-2,1),0)+IFERROR(IF(AC31+1&gt;LARGE(AC$7:AC$62,1)-2,1),0)+IFERROR(IF(AD31+1&gt;LARGE(AD$7:AD$62,1)-2,1),0)+IFERROR(IF(AE31+1&gt;LARGE(AE$7:AE$62,1)-2,1),0)+IFERROR(IF(AF31+1&gt;LARGE(AF$7:AF$62,1)-2,1),0)+IFERROR(IF(AG31+1&gt;LARGE(AG$7:AG$62,1)-2,1),0)+IFERROR(IF(AH31+1&gt;LARGE(AH$7:AH$62,1)-2,1),0)+IFERROR(IF(AI31+1&gt;LARGE(AI$7:AI$62,1)-2,1),0)</f>
        <v>2</v>
      </c>
      <c r="AP31" s="604">
        <f>IF(Z31=0,0,IF(Z31=IFERROR(LARGE(Z$7:Z$62,1),0),1,0))+IF(AA31=0,0,IF(AA31=IFERROR(LARGE(AA$7:AA$62,1),0),1,0))+IF(AB31=0,0,IF(AB31=IFERROR(LARGE(AB$7:AB$62,1),0),1,0))+IF(AC31=0,0,IF(AC31=IFERROR(LARGE(AC$7:AC$62,1),0),1,0))+IF(AD31=0,0,IF(AD31=IFERROR(LARGE(AD$7:AD$62,1),0),1,0))+IF(AE31=0,0,IF(AE31=IFERROR(LARGE(AE$7:AE$62,1),0),1,0))+IF(AF31=0,0,IF(AF31=IFERROR(LARGE(AF$7:AF$62,1),0),1,0))+IF(AG31=0,0,IF(AG31=IFERROR(LARGE(AG$7:AG$62,1),0),1,0))+IF(AH31=0,0,IF(AH31=IFERROR(LARGE(AH$7:AH$62,1),0),1,0))+IF(AI31=0,0,IF(AI31=IFERROR(LARGE(AI$7:AI$62,1),0),1,0))</f>
        <v>1</v>
      </c>
      <c r="AQ31" s="512"/>
      <c r="AR31" s="605"/>
      <c r="AS31" s="606"/>
      <c r="AT31" s="606"/>
      <c r="AU31" s="606"/>
      <c r="AV31" s="606"/>
      <c r="AW31" s="605">
        <f t="shared" si="10"/>
        <v>1E-4</v>
      </c>
      <c r="AX31" s="606">
        <f t="shared" si="11"/>
        <v>1E-4</v>
      </c>
      <c r="AY31" s="606">
        <f t="shared" si="11"/>
        <v>11.0002</v>
      </c>
      <c r="AZ31" s="606">
        <f t="shared" si="11"/>
        <v>2.9999999999999997E-4</v>
      </c>
      <c r="BA31" s="606">
        <f t="shared" si="11"/>
        <v>4.0000000000000002E-4</v>
      </c>
      <c r="BB31" s="606">
        <f t="shared" si="11"/>
        <v>5.0000000000000001E-4</v>
      </c>
      <c r="BC31" s="606">
        <f t="shared" si="11"/>
        <v>16.000599999999999</v>
      </c>
      <c r="BD31" s="606">
        <f t="shared" si="11"/>
        <v>6.9999999999999999E-4</v>
      </c>
      <c r="BE31" s="606">
        <f t="shared" si="11"/>
        <v>8.0000000000000004E-4</v>
      </c>
      <c r="BF31" s="606">
        <f t="shared" si="11"/>
        <v>19.000900000000001</v>
      </c>
      <c r="BG31" s="606">
        <f t="shared" si="11"/>
        <v>20.001000000000001</v>
      </c>
    </row>
    <row r="32" spans="1:59" x14ac:dyDescent="0.2">
      <c r="A32" s="583" t="str">
        <f>IF(R32&gt;0,IF(Q32="v",RANK(B32,B$7:B$62,1)-COUNTBLANK(Q$7:Q$62),""),"")</f>
        <v/>
      </c>
      <c r="B32" s="584">
        <f t="shared" si="0"/>
        <v>-974</v>
      </c>
      <c r="C32" s="585" t="str">
        <f>IF(R32&gt;0,IF(P32="k",RANK(D32,D$7:D$62,1)-COUNTBLANK(P$7:P$62),""),"")</f>
        <v/>
      </c>
      <c r="D32" s="584">
        <f t="shared" si="1"/>
        <v>-974</v>
      </c>
      <c r="E32" s="586">
        <f>IF(R32&gt;0,IF(N32="m",RANK(F32,F$7:F$62,1)-COUNTBLANK(N$7:N$62),""),"")</f>
        <v>24</v>
      </c>
      <c r="F32" s="584">
        <f t="shared" si="2"/>
        <v>26</v>
      </c>
      <c r="G32" s="587" t="str">
        <f>IF(R32&gt;0,IF(M32="n",RANK(H32,H$7:H$62,1)-COUNTBLANK(M$7:M$62),""),"")</f>
        <v/>
      </c>
      <c r="H32" s="584">
        <f t="shared" si="3"/>
        <v>-974</v>
      </c>
      <c r="I32" s="588" t="str">
        <f>IF(R32&gt;0,IF(O32="j",RANK(J32,J$7:J$62,1)-COUNTBLANK(O$7:O$62),""),"")</f>
        <v/>
      </c>
      <c r="J32" s="589">
        <f t="shared" si="4"/>
        <v>-974</v>
      </c>
      <c r="K32" s="548">
        <f>IF(R32&gt;0,RANK(U32,U$7:U$62,1),"")</f>
        <v>26</v>
      </c>
      <c r="L32" s="608" t="s">
        <v>237</v>
      </c>
      <c r="M32" s="591"/>
      <c r="N32" s="592" t="str">
        <f>IF(M32="","m","")</f>
        <v>m</v>
      </c>
      <c r="O32" s="593"/>
      <c r="P32" s="594"/>
      <c r="Q32" s="595"/>
      <c r="R32" s="596">
        <f>(IF(COUNT(Z32,AA32,AB32,AC32,AD32,AE32,AF32,AG32,AH32,AI32)&lt;9,SUM(Z32,AA32,AB32,AC32,AD32,AE32,AF32,AG32,AH32,AI32),SUM(LARGE((Z32,AA32,AB32,AC32,AD32,AE32,AF32,AG32,AH32,AI32),{1;2;3;4;5;6;7;8;9}))))</f>
        <v>61</v>
      </c>
      <c r="S32" s="597" t="str">
        <f>INDEX(ETAPP!B$1:B$32,MATCH(COUNTIF(Z32:AI32,PVO!A$1),ETAPP!A$1:A$32,0))&amp;INDEX(ETAPP!B$1:B$32,MATCH(COUNTIF(Z32:AI32,PVO!A$2),ETAPP!A$1:A$32,0))&amp;INDEX(ETAPP!B$1:B$32,MATCH(COUNTIF(Z32:AI32,PVO!A$3),ETAPP!A$1:A$32,0))&amp;INDEX(ETAPP!B$1:B$32,MATCH(COUNTIF(Z32:AI32,PVO!A$4),ETAPP!A$1:A$32,0))&amp;INDEX(ETAPP!B$1:B$32,MATCH(COUNTIF(Z32:AI32,PVO!A$5),ETAPP!A$1:A$32,0))&amp;INDEX(ETAPP!B$1:B$32,MATCH(COUNTIF(Z32:AI32,PVO!A$6),ETAPP!A$1:A$32,0))&amp;INDEX(ETAPP!B$1:B$32,MATCH(COUNTIF(Z32:AI32,PVO!A$7),ETAPP!A$1:A$32,0))&amp;INDEX(ETAPP!B$1:B$32,MATCH(COUNTIF(Z32:AI32,PVO!A$8),ETAPP!A$1:A$32,0))&amp;INDEX(ETAPP!B$1:B$32,MATCH(COUNTIF(Z32:AI32,PVO!A$9),ETAPP!A$1:A$32,0))&amp;INDEX(ETAPP!B$1:B$32,MATCH(COUNTIF(Z32:AI32,PVO!A$10),ETAPP!A$1:A$32,0))&amp;INDEX(ETAPP!B$1:B$32,MATCH(COUNTIF(Z32:AI32,PVO!A$11),ETAPP!A$1:A$32,0))&amp;INDEX(ETAPP!B$1:B$32,MATCH(COUNTIF(Z32:AI32,PVO!A$12),ETAPP!A$1:A$32,0))&amp;INDEX(ETAPP!B$1:B$32,MATCH(COUNTIF(Z32:AI32,PVO!A$13),ETAPP!A$1:A$32,0))&amp;INDEX(ETAPP!B$1:B$32,MATCH(COUNTIF(Z32:AI32,PVO!A$14),ETAPP!A$1:A$32,0))&amp;INDEX(ETAPP!B$1:B$32,MATCH(COUNTIF(Z32:AI32,PVO!A$15),ETAPP!A$1:A$32,0))&amp;INDEX(ETAPP!B$1:B$32,MATCH(COUNTIF(Z32:AI32,PVO!A$16),ETAPP!A$1:A$32,0))&amp;INDEX(ETAPP!B$1:B$32,MATCH(COUNTIF(Z32:AI32,PVO!A$17),ETAPP!A$1:A$32,0))&amp;INDEX(ETAPP!B$1:B$32,MATCH(COUNTIF(Z32:AI32,PVO!A$18),ETAPP!A$1:A$32,0))&amp;INDEX(ETAPP!B$1:B$32,MATCH(COUNTIF(Z32:AI32,PVO!A$19),ETAPP!A$1:A$32,0))</f>
        <v>0A000000B0A0A000000</v>
      </c>
      <c r="T32" s="597" t="str">
        <f t="shared" si="5"/>
        <v>061,0-0A000000B0A0A000000</v>
      </c>
      <c r="U32" s="597">
        <f>COUNTIF(T$7:T$62,"&gt;="&amp;T32)</f>
        <v>26</v>
      </c>
      <c r="V32" s="597">
        <f>COUNTIF(L$7:L$62,"&gt;="&amp;L32)</f>
        <v>2</v>
      </c>
      <c r="W32" s="597" t="str">
        <f t="shared" si="6"/>
        <v>061,0-0A000000B0A0A000000-002</v>
      </c>
      <c r="X32" s="597">
        <f>COUNTIF(W$7:W$62,"&gt;="&amp;W32)</f>
        <v>26</v>
      </c>
      <c r="Y32" s="598">
        <f>RANK(X32,X$7:X$62,0)</f>
        <v>31</v>
      </c>
      <c r="Z32" s="599">
        <f>IFERROR(INDEX('V1'!C$300:C$400,MATCH("*"&amp;L32&amp;"*",'V1'!B$300:B$400,0)),"  ")</f>
        <v>12</v>
      </c>
      <c r="AA32" s="599">
        <f>IFERROR(INDEX('V2'!C$300:C$400,MATCH("*"&amp;L32&amp;"*",'V2'!B$300:B$400,0)),"  ")</f>
        <v>12</v>
      </c>
      <c r="AB32" s="599" t="str">
        <f>IFERROR(INDEX('V3'!C$300:C$400,MATCH("*"&amp;L32&amp;"*",'V3'!B$300:B$400,0)),"  ")</f>
        <v xml:space="preserve">  </v>
      </c>
      <c r="AC32" s="599" t="str">
        <f>IFERROR(INDEX('V4'!C$300:C$400,MATCH("*"&amp;L32&amp;"*",'V4'!B$300:B$400,0)),"  ")</f>
        <v xml:space="preserve">  </v>
      </c>
      <c r="AD32" s="599">
        <f>IFERROR(INDEX('V5'!C$300:C$400,MATCH("*"&amp;L32&amp;"*",'V5'!B$300:B$400,0)),"  ")</f>
        <v>10</v>
      </c>
      <c r="AE32" s="599">
        <f>IFERROR(INDEX('V6'!C$300:C$400,MATCH("*"&amp;L32&amp;"*",'V6'!B$300:B$400,0)),"  ")</f>
        <v>8</v>
      </c>
      <c r="AF32" s="599" t="str">
        <f>IFERROR(INDEX('V7'!C$300:C$400,MATCH("*"&amp;L32&amp;"*",'V7'!B$300:B$400,0)),"  ")</f>
        <v xml:space="preserve">  </v>
      </c>
      <c r="AG32" s="599" t="str">
        <f>IFERROR(INDEX('V8'!C$300:C$400,MATCH("*"&amp;L32&amp;"*",'V8'!B$300:B$400,0)),"  ")</f>
        <v xml:space="preserve">  </v>
      </c>
      <c r="AH32" s="599" t="str">
        <f>IFERROR(INDEX('V9'!C$300:C$400,MATCH("*"&amp;L32&amp;"*",'V9'!B$300:B$400,0)),"  ")</f>
        <v xml:space="preserve">  </v>
      </c>
      <c r="AI32" s="599">
        <f>IFERROR(INDEX('V10'!C$300:C$400,MATCH("*"&amp;L32&amp;"*",'V10'!B$300:B$400,0)),"  ")</f>
        <v>19</v>
      </c>
      <c r="AJ32" s="600">
        <f t="shared" si="7"/>
        <v>1</v>
      </c>
      <c r="AK32" s="600">
        <f t="shared" si="8"/>
        <v>31</v>
      </c>
      <c r="AL32" s="601" t="str">
        <f>IFERROR("edasi "&amp;RANK(AK32,AK$7:AK$62,0),K32)</f>
        <v>edasi 26</v>
      </c>
      <c r="AM32" s="602">
        <f>IFERROR(INDEX('V-fin'!A$300:A$400,MATCH("*"&amp;L32&amp;"*",'V-fin'!B$300:B$400,0)),"  ")</f>
        <v>19</v>
      </c>
      <c r="AN32" s="603">
        <f t="shared" si="9"/>
        <v>5</v>
      </c>
      <c r="AO32" s="604">
        <f>IFERROR(IF(Z32+1&gt;LARGE(Z$7:Z$62,1)-2,1),0)+IFERROR(IF(AA32+1&gt;LARGE(AA$7:AA$62,1)-2,1),0)+IFERROR(IF(AB32+1&gt;LARGE(AB$7:AB$62,1)-2,1),0)+IFERROR(IF(AC32+1&gt;LARGE(AC$7:AC$62,1)-2,1),0)+IFERROR(IF(AD32+1&gt;LARGE(AD$7:AD$62,1)-2,1),0)+IFERROR(IF(AE32+1&gt;LARGE(AE$7:AE$62,1)-2,1),0)+IFERROR(IF(AF32+1&gt;LARGE(AF$7:AF$62,1)-2,1),0)+IFERROR(IF(AG32+1&gt;LARGE(AG$7:AG$62,1)-2,1),0)+IFERROR(IF(AH32+1&gt;LARGE(AH$7:AH$62,1)-2,1),0)+IFERROR(IF(AI32+1&gt;LARGE(AI$7:AI$62,1)-2,1),0)</f>
        <v>1</v>
      </c>
      <c r="AP32" s="604">
        <f>IF(Z32=0,0,IF(Z32=IFERROR(LARGE(Z$7:Z$62,1),0),1,0))+IF(AA32=0,0,IF(AA32=IFERROR(LARGE(AA$7:AA$62,1),0),1,0))+IF(AB32=0,0,IF(AB32=IFERROR(LARGE(AB$7:AB$62,1),0),1,0))+IF(AC32=0,0,IF(AC32=IFERROR(LARGE(AC$7:AC$62,1),0),1,0))+IF(AD32=0,0,IF(AD32=IFERROR(LARGE(AD$7:AD$62,1),0),1,0))+IF(AE32=0,0,IF(AE32=IFERROR(LARGE(AE$7:AE$62,1),0),1,0))+IF(AF32=0,0,IF(AF32=IFERROR(LARGE(AF$7:AF$62,1),0),1,0))+IF(AG32=0,0,IF(AG32=IFERROR(LARGE(AG$7:AG$62,1),0),1,0))+IF(AH32=0,0,IF(AH32=IFERROR(LARGE(AH$7:AH$62,1),0),1,0))+IF(AI32=0,0,IF(AI32=IFERROR(LARGE(AI$7:AI$62,1),0),1,0))</f>
        <v>0</v>
      </c>
      <c r="AQ32" s="512"/>
      <c r="AR32" s="605"/>
      <c r="AS32" s="606"/>
      <c r="AT32" s="606"/>
      <c r="AU32" s="606"/>
      <c r="AV32" s="606"/>
      <c r="AW32" s="605">
        <f t="shared" si="10"/>
        <v>2.9999999999999997E-4</v>
      </c>
      <c r="AX32" s="606">
        <f t="shared" si="11"/>
        <v>12.0001</v>
      </c>
      <c r="AY32" s="606">
        <f t="shared" si="11"/>
        <v>12.0002</v>
      </c>
      <c r="AZ32" s="606">
        <f t="shared" si="11"/>
        <v>2.9999999999999997E-4</v>
      </c>
      <c r="BA32" s="606">
        <f t="shared" si="11"/>
        <v>4.0000000000000002E-4</v>
      </c>
      <c r="BB32" s="606">
        <f t="shared" si="11"/>
        <v>10.000500000000001</v>
      </c>
      <c r="BC32" s="606">
        <f t="shared" ref="BC32:BG62" si="14">IF(AE32="  ",0+MID(AE$6,FIND("V",AE$6)+1,256)/10000,AE32+MID(AE$6,FIND("V",AE$6)+1,256)/10000)</f>
        <v>8.0006000000000004</v>
      </c>
      <c r="BD32" s="606">
        <f t="shared" si="14"/>
        <v>6.9999999999999999E-4</v>
      </c>
      <c r="BE32" s="606">
        <f t="shared" si="14"/>
        <v>8.0000000000000004E-4</v>
      </c>
      <c r="BF32" s="606">
        <f t="shared" si="14"/>
        <v>8.9999999999999998E-4</v>
      </c>
      <c r="BG32" s="606">
        <f t="shared" si="14"/>
        <v>19.001000000000001</v>
      </c>
    </row>
    <row r="33" spans="1:59" x14ac:dyDescent="0.2">
      <c r="A33" s="583">
        <f>IF(R33&gt;0,IF(Q33="v",RANK(B33,B$7:B$62,1)-COUNTBLANK(Q$7:Q$62),""),"")</f>
        <v>19</v>
      </c>
      <c r="B33" s="584">
        <f t="shared" si="0"/>
        <v>27</v>
      </c>
      <c r="C33" s="585" t="str">
        <f>IF(R33&gt;0,IF(P33="k",RANK(D33,D$7:D$62,1)-COUNTBLANK(P$7:P$62),""),"")</f>
        <v/>
      </c>
      <c r="D33" s="584">
        <f t="shared" si="1"/>
        <v>-973</v>
      </c>
      <c r="E33" s="586" t="str">
        <f>IF(R33&gt;0,IF(N33="m",RANK(F33,F$7:F$62,1)-COUNTBLANK(N$7:N$62),""),"")</f>
        <v/>
      </c>
      <c r="F33" s="584">
        <f t="shared" si="2"/>
        <v>-973</v>
      </c>
      <c r="G33" s="587">
        <f>IF(R33&gt;0,IF(M33="n",RANK(H33,H$7:H$62,1)-COUNTBLANK(M$7:M$62),""),"")</f>
        <v>3</v>
      </c>
      <c r="H33" s="584">
        <f t="shared" si="3"/>
        <v>27</v>
      </c>
      <c r="I33" s="588" t="str">
        <f>IF(R33&gt;0,IF(O33="j",RANK(J33,J$7:J$62,1)-COUNTBLANK(O$7:O$62),""),"")</f>
        <v/>
      </c>
      <c r="J33" s="589">
        <f t="shared" si="4"/>
        <v>-973</v>
      </c>
      <c r="K33" s="548">
        <f>IF(R33&gt;0,RANK(U33,U$7:U$62,1),"")</f>
        <v>27</v>
      </c>
      <c r="L33" s="609" t="s">
        <v>233</v>
      </c>
      <c r="M33" s="591" t="s">
        <v>234</v>
      </c>
      <c r="N33" s="592" t="str">
        <f>IF(M33="","m","")</f>
        <v/>
      </c>
      <c r="O33" s="593"/>
      <c r="P33" s="594"/>
      <c r="Q33" s="595" t="s">
        <v>319</v>
      </c>
      <c r="R33" s="596">
        <f>(IF(COUNT(Z33,AA33,AB33,AC33,AD33,AE33,AF33,AG33,AH33,AI33)&lt;9,SUM(Z33,AA33,AB33,AC33,AD33,AE33,AF33,AG33,AH33,AI33),SUM(LARGE((Z33,AA33,AB33,AC33,AD33,AE33,AF33,AG33,AH33,AI33),{1;2;3;4;5;6;7;8;9}))))</f>
        <v>55</v>
      </c>
      <c r="S33" s="597" t="str">
        <f>INDEX(ETAPP!B$1:B$32,MATCH(COUNTIF(Z33:AI33,PVO!A$1),ETAPP!A$1:A$32,0))&amp;INDEX(ETAPP!B$1:B$32,MATCH(COUNTIF(Z33:AI33,PVO!A$2),ETAPP!A$1:A$32,0))&amp;INDEX(ETAPP!B$1:B$32,MATCH(COUNTIF(Z33:AI33,PVO!A$3),ETAPP!A$1:A$32,0))&amp;INDEX(ETAPP!B$1:B$32,MATCH(COUNTIF(Z33:AI33,PVO!A$4),ETAPP!A$1:A$32,0))&amp;INDEX(ETAPP!B$1:B$32,MATCH(COUNTIF(Z33:AI33,PVO!A$5),ETAPP!A$1:A$32,0))&amp;INDEX(ETAPP!B$1:B$32,MATCH(COUNTIF(Z33:AI33,PVO!A$6),ETAPP!A$1:A$32,0))&amp;INDEX(ETAPP!B$1:B$32,MATCH(COUNTIF(Z33:AI33,PVO!A$7),ETAPP!A$1:A$32,0))&amp;INDEX(ETAPP!B$1:B$32,MATCH(COUNTIF(Z33:AI33,PVO!A$8),ETAPP!A$1:A$32,0))&amp;INDEX(ETAPP!B$1:B$32,MATCH(COUNTIF(Z33:AI33,PVO!A$9),ETAPP!A$1:A$32,0))&amp;INDEX(ETAPP!B$1:B$32,MATCH(COUNTIF(Z33:AI33,PVO!A$10),ETAPP!A$1:A$32,0))&amp;INDEX(ETAPP!B$1:B$32,MATCH(COUNTIF(Z33:AI33,PVO!A$11),ETAPP!A$1:A$32,0))&amp;INDEX(ETAPP!B$1:B$32,MATCH(COUNTIF(Z33:AI33,PVO!A$12),ETAPP!A$1:A$32,0))&amp;INDEX(ETAPP!B$1:B$32,MATCH(COUNTIF(Z33:AI33,PVO!A$13),ETAPP!A$1:A$32,0))&amp;INDEX(ETAPP!B$1:B$32,MATCH(COUNTIF(Z33:AI33,PVO!A$14),ETAPP!A$1:A$32,0))&amp;INDEX(ETAPP!B$1:B$32,MATCH(COUNTIF(Z33:AI33,PVO!A$15),ETAPP!A$1:A$32,0))&amp;INDEX(ETAPP!B$1:B$32,MATCH(COUNTIF(Z33:AI33,PVO!A$16),ETAPP!A$1:A$32,0))&amp;INDEX(ETAPP!B$1:B$32,MATCH(COUNTIF(Z33:AI33,PVO!A$17),ETAPP!A$1:A$32,0))&amp;INDEX(ETAPP!B$1:B$32,MATCH(COUNTIF(Z33:AI33,PVO!A$18),ETAPP!A$1:A$32,0))&amp;INDEX(ETAPP!B$1:B$32,MATCH(COUNTIF(Z33:AI33,PVO!A$19),ETAPP!A$1:A$32,0))</f>
        <v>000000CA00000000000</v>
      </c>
      <c r="T33" s="597" t="str">
        <f t="shared" si="5"/>
        <v>055,0-000000CA00000000000</v>
      </c>
      <c r="U33" s="597">
        <f>COUNTIF(T$7:T$62,"&gt;="&amp;T33)</f>
        <v>27</v>
      </c>
      <c r="V33" s="597">
        <f>COUNTIF(L$7:L$62,"&gt;="&amp;L33)</f>
        <v>13</v>
      </c>
      <c r="W33" s="597" t="str">
        <f t="shared" si="6"/>
        <v>055,0-000000CA00000000000-013</v>
      </c>
      <c r="X33" s="597">
        <f>COUNTIF(W$7:W$62,"&gt;="&amp;W33)</f>
        <v>27</v>
      </c>
      <c r="Y33" s="598">
        <f>RANK(X33,X$7:X$62,0)</f>
        <v>30</v>
      </c>
      <c r="Z33" s="599" t="str">
        <f>IFERROR(INDEX('V1'!C$300:C$400,MATCH("*"&amp;L33&amp;"*",'V1'!B$300:B$400,0)),"  ")</f>
        <v xml:space="preserve">  </v>
      </c>
      <c r="AA33" s="599">
        <f>IFERROR(INDEX('V2'!C$300:C$400,MATCH("*"&amp;L33&amp;"*",'V2'!B$300:B$400,0)),"  ")</f>
        <v>14</v>
      </c>
      <c r="AB33" s="599" t="str">
        <f>IFERROR(INDEX('V3'!C$300:C$400,MATCH("*"&amp;L33&amp;"*",'V3'!B$300:B$400,0)),"  ")</f>
        <v xml:space="preserve">  </v>
      </c>
      <c r="AC33" s="599">
        <f>IFERROR(INDEX('V4'!C$300:C$400,MATCH("*"&amp;L33&amp;"*",'V4'!B$300:B$400,0)),"  ")</f>
        <v>14</v>
      </c>
      <c r="AD33" s="599">
        <f>IFERROR(INDEX('V5'!C$300:C$400,MATCH("*"&amp;L33&amp;"*",'V5'!B$300:B$400,0)),"  ")</f>
        <v>14</v>
      </c>
      <c r="AE33" s="599" t="str">
        <f>IFERROR(INDEX('V6'!C$300:C$400,MATCH("*"&amp;L33&amp;"*",'V6'!B$300:B$400,0)),"  ")</f>
        <v xml:space="preserve">  </v>
      </c>
      <c r="AF33" s="599" t="str">
        <f>IFERROR(INDEX('V7'!C$300:C$400,MATCH("*"&amp;L33&amp;"*",'V7'!B$300:B$400,0)),"  ")</f>
        <v xml:space="preserve">  </v>
      </c>
      <c r="AG33" s="599">
        <f>IFERROR(INDEX('V8'!C$300:C$400,MATCH("*"&amp;L33&amp;"*",'V8'!B$300:B$400,0)),"  ")</f>
        <v>13</v>
      </c>
      <c r="AH33" s="599" t="str">
        <f>IFERROR(INDEX('V9'!C$300:C$400,MATCH("*"&amp;L33&amp;"*",'V9'!B$300:B$400,0)),"  ")</f>
        <v xml:space="preserve">  </v>
      </c>
      <c r="AI33" s="599" t="str">
        <f>IFERROR(INDEX('V10'!C$300:C$400,MATCH("*"&amp;L33&amp;"*",'V10'!B$300:B$400,0)),"  ")</f>
        <v xml:space="preserve">  </v>
      </c>
      <c r="AJ33" s="600">
        <f t="shared" si="7"/>
        <v>1</v>
      </c>
      <c r="AK33" s="600">
        <f t="shared" si="8"/>
        <v>30</v>
      </c>
      <c r="AL33" s="601" t="str">
        <f>IFERROR("edasi "&amp;RANK(AK33,AK$7:AK$62,0),K33)</f>
        <v>edasi 27</v>
      </c>
      <c r="AM33" s="602">
        <f>IFERROR(INDEX('V-fin'!A$300:A$400,MATCH("*"&amp;L33&amp;"*",'V-fin'!B$300:B$400,0)),"  ")</f>
        <v>11</v>
      </c>
      <c r="AN33" s="603">
        <f t="shared" si="9"/>
        <v>4</v>
      </c>
      <c r="AO33" s="604">
        <f>IFERROR(IF(Z33+1&gt;LARGE(Z$7:Z$62,1)-2,1),0)+IFERROR(IF(AA33+1&gt;LARGE(AA$7:AA$62,1)-2,1),0)+IFERROR(IF(AB33+1&gt;LARGE(AB$7:AB$62,1)-2,1),0)+IFERROR(IF(AC33+1&gt;LARGE(AC$7:AC$62,1)-2,1),0)+IFERROR(IF(AD33+1&gt;LARGE(AD$7:AD$62,1)-2,1),0)+IFERROR(IF(AE33+1&gt;LARGE(AE$7:AE$62,1)-2,1),0)+IFERROR(IF(AF33+1&gt;LARGE(AF$7:AF$62,1)-2,1),0)+IFERROR(IF(AG33+1&gt;LARGE(AG$7:AG$62,1)-2,1),0)+IFERROR(IF(AH33+1&gt;LARGE(AH$7:AH$62,1)-2,1),0)+IFERROR(IF(AI33+1&gt;LARGE(AI$7:AI$62,1)-2,1),0)</f>
        <v>0</v>
      </c>
      <c r="AP33" s="604">
        <f>IF(Z33=0,0,IF(Z33=IFERROR(LARGE(Z$7:Z$62,1),0),1,0))+IF(AA33=0,0,IF(AA33=IFERROR(LARGE(AA$7:AA$62,1),0),1,0))+IF(AB33=0,0,IF(AB33=IFERROR(LARGE(AB$7:AB$62,1),0),1,0))+IF(AC33=0,0,IF(AC33=IFERROR(LARGE(AC$7:AC$62,1),0),1,0))+IF(AD33=0,0,IF(AD33=IFERROR(LARGE(AD$7:AD$62,1),0),1,0))+IF(AE33=0,0,IF(AE33=IFERROR(LARGE(AE$7:AE$62,1),0),1,0))+IF(AF33=0,0,IF(AF33=IFERROR(LARGE(AF$7:AF$62,1),0),1,0))+IF(AG33=0,0,IF(AG33=IFERROR(LARGE(AG$7:AG$62,1),0),1,0))+IF(AH33=0,0,IF(AH33=IFERROR(LARGE(AH$7:AH$62,1),0),1,0))+IF(AI33=0,0,IF(AI33=IFERROR(LARGE(AI$7:AI$62,1),0),1,0))</f>
        <v>0</v>
      </c>
      <c r="AQ33" s="512"/>
      <c r="AR33" s="605"/>
      <c r="AS33" s="606"/>
      <c r="AT33" s="606"/>
      <c r="AU33" s="606"/>
      <c r="AV33" s="606"/>
      <c r="AW33" s="605">
        <f t="shared" si="10"/>
        <v>1E-4</v>
      </c>
      <c r="AX33" s="606">
        <f t="shared" ref="AX33:BB62" si="15">IF(Z33="  ",0+MID(Z$6,FIND("V",Z$6)+1,256)/10000,Z33+MID(Z$6,FIND("V",Z$6)+1,256)/10000)</f>
        <v>1E-4</v>
      </c>
      <c r="AY33" s="606">
        <f t="shared" si="15"/>
        <v>14.0002</v>
      </c>
      <c r="AZ33" s="606">
        <f t="shared" si="15"/>
        <v>2.9999999999999997E-4</v>
      </c>
      <c r="BA33" s="606">
        <f t="shared" si="15"/>
        <v>14.000400000000001</v>
      </c>
      <c r="BB33" s="606">
        <f t="shared" si="15"/>
        <v>14.000500000000001</v>
      </c>
      <c r="BC33" s="606">
        <f t="shared" si="14"/>
        <v>5.9999999999999995E-4</v>
      </c>
      <c r="BD33" s="606">
        <f t="shared" si="14"/>
        <v>6.9999999999999999E-4</v>
      </c>
      <c r="BE33" s="606">
        <f t="shared" si="14"/>
        <v>13.0008</v>
      </c>
      <c r="BF33" s="606">
        <f t="shared" si="14"/>
        <v>8.9999999999999998E-4</v>
      </c>
      <c r="BG33" s="606">
        <f t="shared" si="14"/>
        <v>1E-3</v>
      </c>
    </row>
    <row r="34" spans="1:59" x14ac:dyDescent="0.2">
      <c r="A34" s="583">
        <f>IF(R34&gt;0,IF(Q34="v",RANK(B34,B$7:B$62,1)-COUNTBLANK(Q$7:Q$62),""),"")</f>
        <v>20</v>
      </c>
      <c r="B34" s="584">
        <f t="shared" si="0"/>
        <v>28</v>
      </c>
      <c r="C34" s="585">
        <f>IF(R34&gt;0,IF(P34="k",RANK(D34,D$7:D$62,1)-COUNTBLANK(P$7:P$62),""),"")</f>
        <v>9</v>
      </c>
      <c r="D34" s="584">
        <f t="shared" si="1"/>
        <v>28</v>
      </c>
      <c r="E34" s="586">
        <f>IF(R34&gt;0,IF(N34="m",RANK(F34,F$7:F$62,1)-COUNTBLANK(N$7:N$62),""),"")</f>
        <v>25</v>
      </c>
      <c r="F34" s="584">
        <f t="shared" si="2"/>
        <v>28</v>
      </c>
      <c r="G34" s="587" t="str">
        <f>IF(R34&gt;0,IF(M34="n",RANK(H34,H$7:H$62,1)-COUNTBLANK(M$7:M$62),""),"")</f>
        <v/>
      </c>
      <c r="H34" s="584">
        <f t="shared" si="3"/>
        <v>-972</v>
      </c>
      <c r="I34" s="588" t="str">
        <f>IF(R34&gt;0,IF(O34="j",RANK(J34,J$7:J$62,1)-COUNTBLANK(O$7:O$62),""),"")</f>
        <v/>
      </c>
      <c r="J34" s="589">
        <f t="shared" si="4"/>
        <v>-972</v>
      </c>
      <c r="K34" s="548">
        <f>IF(R34&gt;0,RANK(U34,U$7:U$62,1),"")</f>
        <v>28</v>
      </c>
      <c r="L34" s="609" t="s">
        <v>260</v>
      </c>
      <c r="M34" s="591"/>
      <c r="N34" s="592" t="str">
        <f>IF(M34="","m","")</f>
        <v>m</v>
      </c>
      <c r="O34" s="593"/>
      <c r="P34" s="594" t="s">
        <v>320</v>
      </c>
      <c r="Q34" s="595" t="s">
        <v>319</v>
      </c>
      <c r="R34" s="596">
        <f>(IF(COUNT(Z34,AA34,AB34,AC34,AD34,AE34,AF34,AG34,AH34,AI34)&lt;9,SUM(Z34,AA34,AB34,AC34,AD34,AE34,AF34,AG34,AH34,AI34),SUM(LARGE((Z34,AA34,AB34,AC34,AD34,AE34,AF34,AG34,AH34,AI34),{1;2;3;4;5;6;7;8;9}))))</f>
        <v>54</v>
      </c>
      <c r="S34" s="597" t="str">
        <f>INDEX(ETAPP!B$1:B$32,MATCH(COUNTIF(Z34:AI34,PVO!A$1),ETAPP!A$1:A$32,0))&amp;INDEX(ETAPP!B$1:B$32,MATCH(COUNTIF(Z34:AI34,PVO!A$2),ETAPP!A$1:A$32,0))&amp;INDEX(ETAPP!B$1:B$32,MATCH(COUNTIF(Z34:AI34,PVO!A$3),ETAPP!A$1:A$32,0))&amp;INDEX(ETAPP!B$1:B$32,MATCH(COUNTIF(Z34:AI34,PVO!A$4),ETAPP!A$1:A$32,0))&amp;INDEX(ETAPP!B$1:B$32,MATCH(COUNTIF(Z34:AI34,PVO!A$5),ETAPP!A$1:A$32,0))&amp;INDEX(ETAPP!B$1:B$32,MATCH(COUNTIF(Z34:AI34,PVO!A$6),ETAPP!A$1:A$32,0))&amp;INDEX(ETAPP!B$1:B$32,MATCH(COUNTIF(Z34:AI34,PVO!A$7),ETAPP!A$1:A$32,0))&amp;INDEX(ETAPP!B$1:B$32,MATCH(COUNTIF(Z34:AI34,PVO!A$8),ETAPP!A$1:A$32,0))&amp;INDEX(ETAPP!B$1:B$32,MATCH(COUNTIF(Z34:AI34,PVO!A$9),ETAPP!A$1:A$32,0))&amp;INDEX(ETAPP!B$1:B$32,MATCH(COUNTIF(Z34:AI34,PVO!A$10),ETAPP!A$1:A$32,0))&amp;INDEX(ETAPP!B$1:B$32,MATCH(COUNTIF(Z34:AI34,PVO!A$11),ETAPP!A$1:A$32,0))&amp;INDEX(ETAPP!B$1:B$32,MATCH(COUNTIF(Z34:AI34,PVO!A$12),ETAPP!A$1:A$32,0))&amp;INDEX(ETAPP!B$1:B$32,MATCH(COUNTIF(Z34:AI34,PVO!A$13),ETAPP!A$1:A$32,0))&amp;INDEX(ETAPP!B$1:B$32,MATCH(COUNTIF(Z34:AI34,PVO!A$14),ETAPP!A$1:A$32,0))&amp;INDEX(ETAPP!B$1:B$32,MATCH(COUNTIF(Z34:AI34,PVO!A$15),ETAPP!A$1:A$32,0))&amp;INDEX(ETAPP!B$1:B$32,MATCH(COUNTIF(Z34:AI34,PVO!A$16),ETAPP!A$1:A$32,0))&amp;INDEX(ETAPP!B$1:B$32,MATCH(COUNTIF(Z34:AI34,PVO!A$17),ETAPP!A$1:A$32,0))&amp;INDEX(ETAPP!B$1:B$32,MATCH(COUNTIF(Z34:AI34,PVO!A$18),ETAPP!A$1:A$32,0))&amp;INDEX(ETAPP!B$1:B$32,MATCH(COUNTIF(Z34:AI34,PVO!A$19),ETAPP!A$1:A$32,0))</f>
        <v>AA000A0000000000000</v>
      </c>
      <c r="T34" s="597" t="str">
        <f t="shared" si="5"/>
        <v>054,0-AA000A0000000000000</v>
      </c>
      <c r="U34" s="597">
        <f>COUNTIF(T$7:T$62,"&gt;="&amp;T34)</f>
        <v>28</v>
      </c>
      <c r="V34" s="597">
        <f>COUNTIF(L$7:L$62,"&gt;="&amp;L34)</f>
        <v>7</v>
      </c>
      <c r="W34" s="597" t="str">
        <f t="shared" si="6"/>
        <v>054,0-AA000A0000000000000-007</v>
      </c>
      <c r="X34" s="597">
        <f>COUNTIF(W$7:W$62,"&gt;="&amp;W34)</f>
        <v>28</v>
      </c>
      <c r="Y34" s="598">
        <f>RANK(X34,X$7:X$62,0)</f>
        <v>29</v>
      </c>
      <c r="Z34" s="599" t="str">
        <f>IFERROR(INDEX('V1'!C$300:C$400,MATCH("*"&amp;L34&amp;"*",'V1'!B$300:B$400,0)),"  ")</f>
        <v xml:space="preserve">  </v>
      </c>
      <c r="AA34" s="599" t="str">
        <f>IFERROR(INDEX('V2'!C$300:C$400,MATCH("*"&amp;L34&amp;"*",'V2'!B$300:B$400,0)),"  ")</f>
        <v xml:space="preserve">  </v>
      </c>
      <c r="AB34" s="599" t="str">
        <f>IFERROR(INDEX('V3'!C$300:C$400,MATCH("*"&amp;L34&amp;"*",'V3'!B$300:B$400,0)),"  ")</f>
        <v xml:space="preserve">  </v>
      </c>
      <c r="AC34" s="599">
        <f>IFERROR(INDEX('V4'!C$300:C$400,MATCH("*"&amp;L34&amp;"*",'V4'!B$300:B$400,0)),"  ")</f>
        <v>15</v>
      </c>
      <c r="AD34" s="599" t="str">
        <f>IFERROR(INDEX('V5'!C$300:C$400,MATCH("*"&amp;L34&amp;"*",'V5'!B$300:B$400,0)),"  ")</f>
        <v xml:space="preserve">  </v>
      </c>
      <c r="AE34" s="599" t="str">
        <f>IFERROR(INDEX('V6'!C$300:C$400,MATCH("*"&amp;L34&amp;"*",'V6'!B$300:B$400,0)),"  ")</f>
        <v xml:space="preserve">  </v>
      </c>
      <c r="AF34" s="599" t="str">
        <f>IFERROR(INDEX('V7'!C$300:C$400,MATCH("*"&amp;L34&amp;"*",'V7'!B$300:B$400,0)),"  ")</f>
        <v xml:space="preserve">  </v>
      </c>
      <c r="AG34" s="599">
        <f>IFERROR(INDEX('V8'!C$300:C$400,MATCH("*"&amp;L34&amp;"*",'V8'!B$300:B$400,0)),"  ")</f>
        <v>19</v>
      </c>
      <c r="AH34" s="599">
        <f>IFERROR(INDEX('V9'!C$300:C$400,MATCH("*"&amp;L34&amp;"*",'V9'!B$300:B$400,0)),"  ")</f>
        <v>20</v>
      </c>
      <c r="AI34" s="599" t="str">
        <f>IFERROR(INDEX('V10'!C$300:C$400,MATCH("*"&amp;L34&amp;"*",'V10'!B$300:B$400,0)),"  ")</f>
        <v xml:space="preserve">  </v>
      </c>
      <c r="AJ34" s="600">
        <f t="shared" si="7"/>
        <v>1</v>
      </c>
      <c r="AK34" s="600">
        <f t="shared" si="8"/>
        <v>29</v>
      </c>
      <c r="AL34" s="601" t="str">
        <f>IFERROR("edasi "&amp;RANK(AK34,AK$7:AK$62,0),K34)</f>
        <v>edasi 28</v>
      </c>
      <c r="AM34" s="602" t="str">
        <f>IFERROR(INDEX('V-fin'!A$300:A$400,MATCH("*"&amp;L34&amp;"*",'V-fin'!B$300:B$400,0)),"  ")</f>
        <v xml:space="preserve">  </v>
      </c>
      <c r="AN34" s="603">
        <f t="shared" si="9"/>
        <v>3</v>
      </c>
      <c r="AO34" s="604">
        <f>IFERROR(IF(Z34+1&gt;LARGE(Z$7:Z$62,1)-2,1),0)+IFERROR(IF(AA34+1&gt;LARGE(AA$7:AA$62,1)-2,1),0)+IFERROR(IF(AB34+1&gt;LARGE(AB$7:AB$62,1)-2,1),0)+IFERROR(IF(AC34+1&gt;LARGE(AC$7:AC$62,1)-2,1),0)+IFERROR(IF(AD34+1&gt;LARGE(AD$7:AD$62,1)-2,1),0)+IFERROR(IF(AE34+1&gt;LARGE(AE$7:AE$62,1)-2,1),0)+IFERROR(IF(AF34+1&gt;LARGE(AF$7:AF$62,1)-2,1),0)+IFERROR(IF(AG34+1&gt;LARGE(AG$7:AG$62,1)-2,1),0)+IFERROR(IF(AH34+1&gt;LARGE(AH$7:AH$62,1)-2,1),0)+IFERROR(IF(AI34+1&gt;LARGE(AI$7:AI$62,1)-2,1),0)</f>
        <v>2</v>
      </c>
      <c r="AP34" s="604">
        <f>IF(Z34=0,0,IF(Z34=IFERROR(LARGE(Z$7:Z$62,1),0),1,0))+IF(AA34=0,0,IF(AA34=IFERROR(LARGE(AA$7:AA$62,1),0),1,0))+IF(AB34=0,0,IF(AB34=IFERROR(LARGE(AB$7:AB$62,1),0),1,0))+IF(AC34=0,0,IF(AC34=IFERROR(LARGE(AC$7:AC$62,1),0),1,0))+IF(AD34=0,0,IF(AD34=IFERROR(LARGE(AD$7:AD$62,1),0),1,0))+IF(AE34=0,0,IF(AE34=IFERROR(LARGE(AE$7:AE$62,1),0),1,0))+IF(AF34=0,0,IF(AF34=IFERROR(LARGE(AF$7:AF$62,1),0),1,0))+IF(AG34=0,0,IF(AG34=IFERROR(LARGE(AG$7:AG$62,1),0),1,0))+IF(AH34=0,0,IF(AH34=IFERROR(LARGE(AH$7:AH$62,1),0),1,0))+IF(AI34=0,0,IF(AI34=IFERROR(LARGE(AI$7:AI$62,1),0),1,0))</f>
        <v>1</v>
      </c>
      <c r="AQ34" s="620"/>
      <c r="AR34" s="605"/>
      <c r="AS34" s="606"/>
      <c r="AT34" s="606"/>
      <c r="AU34" s="606"/>
      <c r="AV34" s="606"/>
      <c r="AW34" s="605">
        <f t="shared" si="10"/>
        <v>1E-4</v>
      </c>
      <c r="AX34" s="606">
        <f t="shared" si="15"/>
        <v>1E-4</v>
      </c>
      <c r="AY34" s="606">
        <f t="shared" si="15"/>
        <v>2.0000000000000001E-4</v>
      </c>
      <c r="AZ34" s="606">
        <f t="shared" si="15"/>
        <v>2.9999999999999997E-4</v>
      </c>
      <c r="BA34" s="606">
        <f t="shared" si="15"/>
        <v>15.000400000000001</v>
      </c>
      <c r="BB34" s="606">
        <f t="shared" si="15"/>
        <v>5.0000000000000001E-4</v>
      </c>
      <c r="BC34" s="606">
        <f t="shared" si="14"/>
        <v>5.9999999999999995E-4</v>
      </c>
      <c r="BD34" s="606">
        <f t="shared" si="14"/>
        <v>6.9999999999999999E-4</v>
      </c>
      <c r="BE34" s="606">
        <f t="shared" si="14"/>
        <v>19.000800000000002</v>
      </c>
      <c r="BF34" s="606">
        <f t="shared" si="14"/>
        <v>20.000900000000001</v>
      </c>
      <c r="BG34" s="606">
        <f t="shared" si="14"/>
        <v>1E-3</v>
      </c>
    </row>
    <row r="35" spans="1:59" x14ac:dyDescent="0.2">
      <c r="A35" s="583" t="str">
        <f>IF(R35&gt;0,IF(Q35="v",RANK(B35,B$7:B$62,1)-COUNTBLANK(Q$7:Q$62),""),"")</f>
        <v/>
      </c>
      <c r="B35" s="584">
        <f t="shared" si="0"/>
        <v>-970</v>
      </c>
      <c r="C35" s="585">
        <f>IF(R35&gt;0,IF(P35="k",RANK(D35,D$7:D$62,1)-COUNTBLANK(P$7:P$62),""),"")</f>
        <v>10</v>
      </c>
      <c r="D35" s="584">
        <f t="shared" si="1"/>
        <v>30</v>
      </c>
      <c r="E35" s="586">
        <f>IF(R35&gt;0,IF(N35="m",RANK(F35,F$7:F$62,1)-COUNTBLANK(N$7:N$62),""),"")</f>
        <v>26</v>
      </c>
      <c r="F35" s="584">
        <f t="shared" si="2"/>
        <v>30</v>
      </c>
      <c r="G35" s="587" t="str">
        <f>IF(R35&gt;0,IF(M35="n",RANK(H35,H$7:H$62,1)-COUNTBLANK(M$7:M$62),""),"")</f>
        <v/>
      </c>
      <c r="H35" s="584">
        <f t="shared" si="3"/>
        <v>-970</v>
      </c>
      <c r="I35" s="588" t="str">
        <f>IF(R35&gt;0,IF(O35="j",RANK(J35,J$7:J$62,1)-COUNTBLANK(O$7:O$62),""),"")</f>
        <v/>
      </c>
      <c r="J35" s="589">
        <f t="shared" si="4"/>
        <v>-970</v>
      </c>
      <c r="K35" s="548">
        <f>IF(R35&gt;0,RANK(U35,U$7:U$62,1),"")</f>
        <v>29</v>
      </c>
      <c r="L35" s="590" t="s">
        <v>258</v>
      </c>
      <c r="M35" s="591"/>
      <c r="N35" s="592" t="str">
        <f>IF(M35="","m","")</f>
        <v>m</v>
      </c>
      <c r="O35" s="593"/>
      <c r="P35" s="594" t="s">
        <v>320</v>
      </c>
      <c r="Q35" s="595"/>
      <c r="R35" s="596">
        <f>(IF(COUNT(Z35,AA35,AB35,AC35,AD35,AE35,AF35,AG35,AH35,AI35)&lt;9,SUM(Z35,AA35,AB35,AC35,AD35,AE35,AF35,AG35,AH35,AI35),SUM(LARGE((Z35,AA35,AB35,AC35,AD35,AE35,AF35,AG35,AH35,AI35),{1;2;3;4;5;6;7;8;9}))))</f>
        <v>54</v>
      </c>
      <c r="S35" s="597" t="str">
        <f>INDEX(ETAPP!B$1:B$32,MATCH(COUNTIF(Z35:AI35,PVO!A$1),ETAPP!A$1:A$32,0))&amp;INDEX(ETAPP!B$1:B$32,MATCH(COUNTIF(Z35:AI35,PVO!A$2),ETAPP!A$1:A$32,0))&amp;INDEX(ETAPP!B$1:B$32,MATCH(COUNTIF(Z35:AI35,PVO!A$3),ETAPP!A$1:A$32,0))&amp;INDEX(ETAPP!B$1:B$32,MATCH(COUNTIF(Z35:AI35,PVO!A$4),ETAPP!A$1:A$32,0))&amp;INDEX(ETAPP!B$1:B$32,MATCH(COUNTIF(Z35:AI35,PVO!A$5),ETAPP!A$1:A$32,0))&amp;INDEX(ETAPP!B$1:B$32,MATCH(COUNTIF(Z35:AI35,PVO!A$6),ETAPP!A$1:A$32,0))&amp;INDEX(ETAPP!B$1:B$32,MATCH(COUNTIF(Z35:AI35,PVO!A$7),ETAPP!A$1:A$32,0))&amp;INDEX(ETAPP!B$1:B$32,MATCH(COUNTIF(Z35:AI35,PVO!A$8),ETAPP!A$1:A$32,0))&amp;INDEX(ETAPP!B$1:B$32,MATCH(COUNTIF(Z35:AI35,PVO!A$9),ETAPP!A$1:A$32,0))&amp;INDEX(ETAPP!B$1:B$32,MATCH(COUNTIF(Z35:AI35,PVO!A$10),ETAPP!A$1:A$32,0))&amp;INDEX(ETAPP!B$1:B$32,MATCH(COUNTIF(Z35:AI35,PVO!A$11),ETAPP!A$1:A$32,0))&amp;INDEX(ETAPP!B$1:B$32,MATCH(COUNTIF(Z35:AI35,PVO!A$12),ETAPP!A$1:A$32,0))&amp;INDEX(ETAPP!B$1:B$32,MATCH(COUNTIF(Z35:AI35,PVO!A$13),ETAPP!A$1:A$32,0))&amp;INDEX(ETAPP!B$1:B$32,MATCH(COUNTIF(Z35:AI35,PVO!A$14),ETAPP!A$1:A$32,0))&amp;INDEX(ETAPP!B$1:B$32,MATCH(COUNTIF(Z35:AI35,PVO!A$15),ETAPP!A$1:A$32,0))&amp;INDEX(ETAPP!B$1:B$32,MATCH(COUNTIF(Z35:AI35,PVO!A$16),ETAPP!A$1:A$32,0))&amp;INDEX(ETAPP!B$1:B$32,MATCH(COUNTIF(Z35:AI35,PVO!A$17),ETAPP!A$1:A$32,0))&amp;INDEX(ETAPP!B$1:B$32,MATCH(COUNTIF(Z35:AI35,PVO!A$18),ETAPP!A$1:A$32,0))&amp;INDEX(ETAPP!B$1:B$32,MATCH(COUNTIF(Z35:AI35,PVO!A$19),ETAPP!A$1:A$32,0))</f>
        <v>0000000C0000AA00000</v>
      </c>
      <c r="T35" s="597" t="str">
        <f t="shared" si="5"/>
        <v>054,0-0000000C0000AA00000</v>
      </c>
      <c r="U35" s="597">
        <f>COUNTIF(T$7:T$62,"&gt;="&amp;T35)</f>
        <v>30</v>
      </c>
      <c r="V35" s="597">
        <f>COUNTIF(L$7:L$62,"&gt;="&amp;L35)</f>
        <v>23</v>
      </c>
      <c r="W35" s="597" t="str">
        <f t="shared" si="6"/>
        <v>054,0-0000000C0000AA00000-023</v>
      </c>
      <c r="X35" s="597">
        <f>COUNTIF(W$7:W$62,"&gt;="&amp;W35)</f>
        <v>29</v>
      </c>
      <c r="Y35" s="598">
        <f>RANK(X35,X$7:X$62,0)</f>
        <v>28</v>
      </c>
      <c r="Z35" s="599">
        <f>IFERROR(INDEX('V1'!C$300:C$400,MATCH("*"&amp;L35&amp;"*",'V1'!B$300:B$400,0)),"  ")</f>
        <v>13</v>
      </c>
      <c r="AA35" s="599">
        <f>IFERROR(INDEX('V2'!C$300:C$400,MATCH("*"&amp;L35&amp;"*",'V2'!B$300:B$400,0)),"  ")</f>
        <v>7</v>
      </c>
      <c r="AB35" s="599" t="str">
        <f>IFERROR(INDEX('V3'!C$300:C$400,MATCH("*"&amp;L35&amp;"*",'V3'!B$300:B$400,0)),"  ")</f>
        <v xml:space="preserve">  </v>
      </c>
      <c r="AC35" s="599">
        <f>IFERROR(INDEX('V4'!C$300:C$400,MATCH("*"&amp;L35&amp;"*",'V4'!B$300:B$400,0)),"  ")</f>
        <v>13</v>
      </c>
      <c r="AD35" s="599">
        <f>IFERROR(INDEX('V5'!C$300:C$400,MATCH("*"&amp;L35&amp;"*",'V5'!B$300:B$400,0)),"  ")</f>
        <v>8</v>
      </c>
      <c r="AE35" s="599">
        <f>IFERROR(INDEX('V6'!C$300:C$400,MATCH("*"&amp;L35&amp;"*",'V6'!B$300:B$400,0)),"  ")</f>
        <v>13</v>
      </c>
      <c r="AF35" s="599" t="str">
        <f>IFERROR(INDEX('V7'!C$300:C$400,MATCH("*"&amp;L35&amp;"*",'V7'!B$300:B$400,0)),"  ")</f>
        <v xml:space="preserve">  </v>
      </c>
      <c r="AG35" s="599" t="str">
        <f>IFERROR(INDEX('V8'!C$300:C$400,MATCH("*"&amp;L35&amp;"*",'V8'!B$300:B$400,0)),"  ")</f>
        <v xml:space="preserve">  </v>
      </c>
      <c r="AH35" s="599" t="str">
        <f>IFERROR(INDEX('V9'!C$300:C$400,MATCH("*"&amp;L35&amp;"*",'V9'!B$300:B$400,0)),"  ")</f>
        <v xml:space="preserve">  </v>
      </c>
      <c r="AI35" s="599" t="str">
        <f>IFERROR(INDEX('V10'!C$300:C$400,MATCH("*"&amp;L35&amp;"*",'V10'!B$300:B$400,0)),"  ")</f>
        <v xml:space="preserve">  </v>
      </c>
      <c r="AJ35" s="600">
        <f t="shared" si="7"/>
        <v>1</v>
      </c>
      <c r="AK35" s="600">
        <f t="shared" si="8"/>
        <v>28</v>
      </c>
      <c r="AL35" s="601" t="str">
        <f>IFERROR("edasi "&amp;RANK(AK35,AK$7:AK$62,0),K35)</f>
        <v>edasi 29</v>
      </c>
      <c r="AM35" s="602">
        <f>IFERROR(INDEX('V-fin'!A$300:A$400,MATCH("*"&amp;L35&amp;"*",'V-fin'!B$300:B$400,0)),"  ")</f>
        <v>20</v>
      </c>
      <c r="AN35" s="603">
        <f t="shared" si="9"/>
        <v>5</v>
      </c>
      <c r="AO35" s="604">
        <f>IFERROR(IF(Z35+1&gt;LARGE(Z$7:Z$62,1)-2,1),0)+IFERROR(IF(AA35+1&gt;LARGE(AA$7:AA$62,1)-2,1),0)+IFERROR(IF(AB35+1&gt;LARGE(AB$7:AB$62,1)-2,1),0)+IFERROR(IF(AC35+1&gt;LARGE(AC$7:AC$62,1)-2,1),0)+IFERROR(IF(AD35+1&gt;LARGE(AD$7:AD$62,1)-2,1),0)+IFERROR(IF(AE35+1&gt;LARGE(AE$7:AE$62,1)-2,1),0)+IFERROR(IF(AF35+1&gt;LARGE(AF$7:AF$62,1)-2,1),0)+IFERROR(IF(AG35+1&gt;LARGE(AG$7:AG$62,1)-2,1),0)+IFERROR(IF(AH35+1&gt;LARGE(AH$7:AH$62,1)-2,1),0)+IFERROR(IF(AI35+1&gt;LARGE(AI$7:AI$62,1)-2,1),0)</f>
        <v>0</v>
      </c>
      <c r="AP35" s="604">
        <f>IF(Z35=0,0,IF(Z35=IFERROR(LARGE(Z$7:Z$62,1),0),1,0))+IF(AA35=0,0,IF(AA35=IFERROR(LARGE(AA$7:AA$62,1),0),1,0))+IF(AB35=0,0,IF(AB35=IFERROR(LARGE(AB$7:AB$62,1),0),1,0))+IF(AC35=0,0,IF(AC35=IFERROR(LARGE(AC$7:AC$62,1),0),1,0))+IF(AD35=0,0,IF(AD35=IFERROR(LARGE(AD$7:AD$62,1),0),1,0))+IF(AE35=0,0,IF(AE35=IFERROR(LARGE(AE$7:AE$62,1),0),1,0))+IF(AF35=0,0,IF(AF35=IFERROR(LARGE(AF$7:AF$62,1),0),1,0))+IF(AG35=0,0,IF(AG35=IFERROR(LARGE(AG$7:AG$62,1),0),1,0))+IF(AH35=0,0,IF(AH35=IFERROR(LARGE(AH$7:AH$62,1),0),1,0))+IF(AI35=0,0,IF(AI35=IFERROR(LARGE(AI$7:AI$62,1),0),1,0))</f>
        <v>0</v>
      </c>
      <c r="AQ35" s="512"/>
      <c r="AR35" s="605"/>
      <c r="AS35" s="606"/>
      <c r="AT35" s="606"/>
      <c r="AU35" s="606"/>
      <c r="AV35" s="606"/>
      <c r="AW35" s="605">
        <f t="shared" si="10"/>
        <v>2.9999999999999997E-4</v>
      </c>
      <c r="AX35" s="606">
        <f t="shared" si="15"/>
        <v>13.0001</v>
      </c>
      <c r="AY35" s="606">
        <f t="shared" si="15"/>
        <v>7.0002000000000004</v>
      </c>
      <c r="AZ35" s="606">
        <f t="shared" si="15"/>
        <v>2.9999999999999997E-4</v>
      </c>
      <c r="BA35" s="606">
        <f t="shared" si="15"/>
        <v>13.000400000000001</v>
      </c>
      <c r="BB35" s="606">
        <f t="shared" si="15"/>
        <v>8.0005000000000006</v>
      </c>
      <c r="BC35" s="606">
        <f t="shared" si="14"/>
        <v>13.0006</v>
      </c>
      <c r="BD35" s="606">
        <f t="shared" si="14"/>
        <v>6.9999999999999999E-4</v>
      </c>
      <c r="BE35" s="606">
        <f t="shared" si="14"/>
        <v>8.0000000000000004E-4</v>
      </c>
      <c r="BF35" s="606">
        <f t="shared" si="14"/>
        <v>8.9999999999999998E-4</v>
      </c>
      <c r="BG35" s="606">
        <f t="shared" si="14"/>
        <v>1E-3</v>
      </c>
    </row>
    <row r="36" spans="1:59" x14ac:dyDescent="0.2">
      <c r="A36" s="583">
        <f>IF(R36&gt;0,IF(Q36="v",RANK(B36,B$7:B$62,1)-COUNTBLANK(Q$7:Q$62),""),"")</f>
        <v>21</v>
      </c>
      <c r="B36" s="584">
        <f t="shared" si="0"/>
        <v>30</v>
      </c>
      <c r="C36" s="585" t="str">
        <f>IF(R36&gt;0,IF(P36="k",RANK(D36,D$7:D$62,1)-COUNTBLANK(P$7:P$62),""),"")</f>
        <v/>
      </c>
      <c r="D36" s="584">
        <f t="shared" si="1"/>
        <v>-970</v>
      </c>
      <c r="E36" s="586">
        <f>IF(R36&gt;0,IF(N36="m",RANK(F36,F$7:F$62,1)-COUNTBLANK(N$7:N$62),""),"")</f>
        <v>26</v>
      </c>
      <c r="F36" s="584">
        <f t="shared" si="2"/>
        <v>30</v>
      </c>
      <c r="G36" s="587" t="str">
        <f>IF(R36&gt;0,IF(M36="n",RANK(H36,H$7:H$62,1)-COUNTBLANK(M$7:M$62),""),"")</f>
        <v/>
      </c>
      <c r="H36" s="584">
        <f t="shared" si="3"/>
        <v>-970</v>
      </c>
      <c r="I36" s="588" t="str">
        <f>IF(R36&gt;0,IF(O36="j",RANK(J36,J$7:J$62,1)-COUNTBLANK(O$7:O$62),""),"")</f>
        <v/>
      </c>
      <c r="J36" s="589">
        <f t="shared" si="4"/>
        <v>-970</v>
      </c>
      <c r="K36" s="548">
        <f>IF(R36&gt;0,RANK(U36,U$7:U$62,1),"")</f>
        <v>29</v>
      </c>
      <c r="L36" s="607" t="s">
        <v>274</v>
      </c>
      <c r="M36" s="591"/>
      <c r="N36" s="592" t="s">
        <v>321</v>
      </c>
      <c r="O36" s="593"/>
      <c r="P36" s="594"/>
      <c r="Q36" s="595" t="s">
        <v>319</v>
      </c>
      <c r="R36" s="596">
        <f>(IF(COUNT(Z36,AA36,AB36,AC36,AD36,AE36,AF36,AG36,AH36,AI36)&lt;9,SUM(Z36,AA36,AB36,AC36,AD36,AE36,AF36,AG36,AH36,AI36),SUM(LARGE((Z36,AA36,AB36,AC36,AD36,AE36,AF36,AG36,AH36,AI36),{1;2;3;4;5;6;7;8;9}))))</f>
        <v>54</v>
      </c>
      <c r="S36" s="597" t="str">
        <f>INDEX(ETAPP!B$1:B$32,MATCH(COUNTIF(Z36:AI36,PVO!A$1),ETAPP!A$1:A$32,0))&amp;INDEX(ETAPP!B$1:B$32,MATCH(COUNTIF(Z36:AI36,PVO!A$2),ETAPP!A$1:A$32,0))&amp;INDEX(ETAPP!B$1:B$32,MATCH(COUNTIF(Z36:AI36,PVO!A$3),ETAPP!A$1:A$32,0))&amp;INDEX(ETAPP!B$1:B$32,MATCH(COUNTIF(Z36:AI36,PVO!A$4),ETAPP!A$1:A$32,0))&amp;INDEX(ETAPP!B$1:B$32,MATCH(COUNTIF(Z36:AI36,PVO!A$5),ETAPP!A$1:A$32,0))&amp;INDEX(ETAPP!B$1:B$32,MATCH(COUNTIF(Z36:AI36,PVO!A$6),ETAPP!A$1:A$32,0))&amp;INDEX(ETAPP!B$1:B$32,MATCH(COUNTIF(Z36:AI36,PVO!A$7),ETAPP!A$1:A$32,0))&amp;INDEX(ETAPP!B$1:B$32,MATCH(COUNTIF(Z36:AI36,PVO!A$8),ETAPP!A$1:A$32,0))&amp;INDEX(ETAPP!B$1:B$32,MATCH(COUNTIF(Z36:AI36,PVO!A$9),ETAPP!A$1:A$32,0))&amp;INDEX(ETAPP!B$1:B$32,MATCH(COUNTIF(Z36:AI36,PVO!A$10),ETAPP!A$1:A$32,0))&amp;INDEX(ETAPP!B$1:B$32,MATCH(COUNTIF(Z36:AI36,PVO!A$11),ETAPP!A$1:A$32,0))&amp;INDEX(ETAPP!B$1:B$32,MATCH(COUNTIF(Z36:AI36,PVO!A$12),ETAPP!A$1:A$32,0))&amp;INDEX(ETAPP!B$1:B$32,MATCH(COUNTIF(Z36:AI36,PVO!A$13),ETAPP!A$1:A$32,0))&amp;INDEX(ETAPP!B$1:B$32,MATCH(COUNTIF(Z36:AI36,PVO!A$14),ETAPP!A$1:A$32,0))&amp;INDEX(ETAPP!B$1:B$32,MATCH(COUNTIF(Z36:AI36,PVO!A$15),ETAPP!A$1:A$32,0))&amp;INDEX(ETAPP!B$1:B$32,MATCH(COUNTIF(Z36:AI36,PVO!A$16),ETAPP!A$1:A$32,0))&amp;INDEX(ETAPP!B$1:B$32,MATCH(COUNTIF(Z36:AI36,PVO!A$17),ETAPP!A$1:A$32,0))&amp;INDEX(ETAPP!B$1:B$32,MATCH(COUNTIF(Z36:AI36,PVO!A$18),ETAPP!A$1:A$32,0))&amp;INDEX(ETAPP!B$1:B$32,MATCH(COUNTIF(Z36:AI36,PVO!A$19),ETAPP!A$1:A$32,0))</f>
        <v>0000000C0000AA00000</v>
      </c>
      <c r="T36" s="597" t="str">
        <f t="shared" si="5"/>
        <v>054,0-0000000C0000AA00000</v>
      </c>
      <c r="U36" s="597">
        <f>COUNTIF(T$7:T$62,"&gt;="&amp;T36)</f>
        <v>30</v>
      </c>
      <c r="V36" s="597">
        <f>COUNTIF(L$7:L$62,"&gt;="&amp;L36)</f>
        <v>15</v>
      </c>
      <c r="W36" s="597" t="str">
        <f t="shared" si="6"/>
        <v>054,0-0000000C0000AA00000-015</v>
      </c>
      <c r="X36" s="597">
        <f>COUNTIF(W$7:W$62,"&gt;="&amp;W36)</f>
        <v>30</v>
      </c>
      <c r="Y36" s="598">
        <f>RANK(X36,X$7:X$62,0)</f>
        <v>27</v>
      </c>
      <c r="Z36" s="599">
        <f>IFERROR(INDEX('V1'!C$300:C$400,MATCH("*"&amp;L36&amp;"*",'V1'!B$300:B$400,0)),"  ")</f>
        <v>13</v>
      </c>
      <c r="AA36" s="599">
        <f>IFERROR(INDEX('V2'!C$300:C$400,MATCH("*"&amp;L36&amp;"*",'V2'!B$300:B$400,0)),"  ")</f>
        <v>7</v>
      </c>
      <c r="AB36" s="599" t="str">
        <f>IFERROR(INDEX('V3'!C$300:C$400,MATCH("*"&amp;L36&amp;"*",'V3'!B$300:B$400,0)),"  ")</f>
        <v xml:space="preserve">  </v>
      </c>
      <c r="AC36" s="599">
        <f>IFERROR(INDEX('V4'!C$300:C$400,MATCH("*"&amp;L36&amp;"*",'V4'!B$300:B$400,0)),"  ")</f>
        <v>13</v>
      </c>
      <c r="AD36" s="599">
        <f>IFERROR(INDEX('V5'!C$300:C$400,MATCH("*"&amp;L36&amp;"*",'V5'!B$300:B$400,0)),"  ")</f>
        <v>8</v>
      </c>
      <c r="AE36" s="599">
        <f>IFERROR(INDEX('V6'!C$300:C$400,MATCH("*"&amp;L36&amp;"*",'V6'!B$300:B$400,0)),"  ")</f>
        <v>13</v>
      </c>
      <c r="AF36" s="599" t="str">
        <f>IFERROR(INDEX('V7'!C$300:C$400,MATCH("*"&amp;L36&amp;"*",'V7'!B$300:B$400,0)),"  ")</f>
        <v xml:space="preserve">  </v>
      </c>
      <c r="AG36" s="599" t="str">
        <f>IFERROR(INDEX('V8'!C$300:C$400,MATCH("*"&amp;L36&amp;"*",'V8'!B$300:B$400,0)),"  ")</f>
        <v xml:space="preserve">  </v>
      </c>
      <c r="AH36" s="599" t="str">
        <f>IFERROR(INDEX('V9'!C$300:C$400,MATCH("*"&amp;L36&amp;"*",'V9'!B$300:B$400,0)),"  ")</f>
        <v xml:space="preserve">  </v>
      </c>
      <c r="AI36" s="599" t="str">
        <f>IFERROR(INDEX('V10'!C$300:C$400,MATCH("*"&amp;L36&amp;"*",'V10'!B$300:B$400,0)),"  ")</f>
        <v xml:space="preserve">  </v>
      </c>
      <c r="AJ36" s="600">
        <f t="shared" si="7"/>
        <v>1</v>
      </c>
      <c r="AK36" s="600">
        <f t="shared" si="8"/>
        <v>27</v>
      </c>
      <c r="AL36" s="601" t="str">
        <f>IFERROR("edasi "&amp;RANK(AK36,AK$7:AK$62,0),K36)</f>
        <v>edasi 30</v>
      </c>
      <c r="AM36" s="602">
        <f>IFERROR(INDEX('V-fin'!A$300:A$400,MATCH("*"&amp;L36&amp;"*",'V-fin'!B$300:B$400,0)),"  ")</f>
        <v>27</v>
      </c>
      <c r="AN36" s="603">
        <f t="shared" si="9"/>
        <v>5</v>
      </c>
      <c r="AO36" s="604">
        <f>IFERROR(IF(Z36+1&gt;LARGE(Z$7:Z$62,1)-2,1),0)+IFERROR(IF(AA36+1&gt;LARGE(AA$7:AA$62,1)-2,1),0)+IFERROR(IF(AB36+1&gt;LARGE(AB$7:AB$62,1)-2,1),0)+IFERROR(IF(AC36+1&gt;LARGE(AC$7:AC$62,1)-2,1),0)+IFERROR(IF(AD36+1&gt;LARGE(AD$7:AD$62,1)-2,1),0)+IFERROR(IF(AE36+1&gt;LARGE(AE$7:AE$62,1)-2,1),0)+IFERROR(IF(AF36+1&gt;LARGE(AF$7:AF$62,1)-2,1),0)+IFERROR(IF(AG36+1&gt;LARGE(AG$7:AG$62,1)-2,1),0)+IFERROR(IF(AH36+1&gt;LARGE(AH$7:AH$62,1)-2,1),0)+IFERROR(IF(AI36+1&gt;LARGE(AI$7:AI$62,1)-2,1),0)</f>
        <v>0</v>
      </c>
      <c r="AP36" s="604">
        <f>IF(Z36=0,0,IF(Z36=IFERROR(LARGE(Z$7:Z$62,1),0),1,0))+IF(AA36=0,0,IF(AA36=IFERROR(LARGE(AA$7:AA$62,1),0),1,0))+IF(AB36=0,0,IF(AB36=IFERROR(LARGE(AB$7:AB$62,1),0),1,0))+IF(AC36=0,0,IF(AC36=IFERROR(LARGE(AC$7:AC$62,1),0),1,0))+IF(AD36=0,0,IF(AD36=IFERROR(LARGE(AD$7:AD$62,1),0),1,0))+IF(AE36=0,0,IF(AE36=IFERROR(LARGE(AE$7:AE$62,1),0),1,0))+IF(AF36=0,0,IF(AF36=IFERROR(LARGE(AF$7:AF$62,1),0),1,0))+IF(AG36=0,0,IF(AG36=IFERROR(LARGE(AG$7:AG$62,1),0),1,0))+IF(AH36=0,0,IF(AH36=IFERROR(LARGE(AH$7:AH$62,1),0),1,0))+IF(AI36=0,0,IF(AI36=IFERROR(LARGE(AI$7:AI$62,1),0),1,0))</f>
        <v>0</v>
      </c>
      <c r="AQ36" s="512"/>
      <c r="AR36" s="605"/>
      <c r="AS36" s="606"/>
      <c r="AT36" s="606"/>
      <c r="AU36" s="606"/>
      <c r="AV36" s="606"/>
      <c r="AW36" s="605">
        <f t="shared" si="10"/>
        <v>2.9999999999999997E-4</v>
      </c>
      <c r="AX36" s="606">
        <f t="shared" si="15"/>
        <v>13.0001</v>
      </c>
      <c r="AY36" s="606">
        <f t="shared" si="15"/>
        <v>7.0002000000000004</v>
      </c>
      <c r="AZ36" s="606">
        <f t="shared" si="15"/>
        <v>2.9999999999999997E-4</v>
      </c>
      <c r="BA36" s="606">
        <f t="shared" si="15"/>
        <v>13.000400000000001</v>
      </c>
      <c r="BB36" s="606">
        <f t="shared" si="15"/>
        <v>8.0005000000000006</v>
      </c>
      <c r="BC36" s="606">
        <f t="shared" si="14"/>
        <v>13.0006</v>
      </c>
      <c r="BD36" s="606">
        <f t="shared" si="14"/>
        <v>6.9999999999999999E-4</v>
      </c>
      <c r="BE36" s="606">
        <f t="shared" si="14"/>
        <v>8.0000000000000004E-4</v>
      </c>
      <c r="BF36" s="606">
        <f t="shared" si="14"/>
        <v>8.9999999999999998E-4</v>
      </c>
      <c r="BG36" s="606">
        <f t="shared" si="14"/>
        <v>1E-3</v>
      </c>
    </row>
    <row r="37" spans="1:59" x14ac:dyDescent="0.2">
      <c r="A37" s="583">
        <f>IF(R37&gt;0,IF(Q37="v",RANK(B37,B$7:B$62,1)-COUNTBLANK(Q$7:Q$62),""),"")</f>
        <v>22</v>
      </c>
      <c r="B37" s="584">
        <f t="shared" si="0"/>
        <v>31</v>
      </c>
      <c r="C37" s="585" t="str">
        <f>IF(R37&gt;0,IF(P37="k",RANK(D37,D$7:D$62,1)-COUNTBLANK(P$7:P$62),""),"")</f>
        <v/>
      </c>
      <c r="D37" s="584">
        <f t="shared" si="1"/>
        <v>-969</v>
      </c>
      <c r="E37" s="586" t="str">
        <f>IF(R37&gt;0,IF(N37="m",RANK(F37,F$7:F$62,1)-COUNTBLANK(N$7:N$62),""),"")</f>
        <v/>
      </c>
      <c r="F37" s="584">
        <f t="shared" si="2"/>
        <v>-969</v>
      </c>
      <c r="G37" s="587">
        <f>IF(R37&gt;0,IF(M37="n",RANK(H37,H$7:H$62,1)-COUNTBLANK(M$7:M$62),""),"")</f>
        <v>4</v>
      </c>
      <c r="H37" s="584">
        <f t="shared" si="3"/>
        <v>31</v>
      </c>
      <c r="I37" s="588" t="str">
        <f>IF(R37&gt;0,IF(O37="j",RANK(J37,J$7:J$62,1)-COUNTBLANK(O$7:O$62),""),"")</f>
        <v/>
      </c>
      <c r="J37" s="589">
        <f t="shared" si="4"/>
        <v>-969</v>
      </c>
      <c r="K37" s="548">
        <f>IF(R37&gt;0,RANK(U37,U$7:U$62,1),"")</f>
        <v>31</v>
      </c>
      <c r="L37" s="590" t="s">
        <v>246</v>
      </c>
      <c r="M37" s="591" t="s">
        <v>234</v>
      </c>
      <c r="N37" s="592" t="str">
        <f>IF(M37="","m","")</f>
        <v/>
      </c>
      <c r="O37" s="593"/>
      <c r="P37" s="594"/>
      <c r="Q37" s="595" t="s">
        <v>319</v>
      </c>
      <c r="R37" s="596">
        <f>(IF(COUNT(Z37,AA37,AB37,AC37,AD37,AE37,AF37,AG37,AH37,AI37)&lt;9,SUM(Z37,AA37,AB37,AC37,AD37,AE37,AF37,AG37,AH37,AI37),SUM(LARGE((Z37,AA37,AB37,AC37,AD37,AE37,AF37,AG37,AH37,AI37),{1;2;3;4;5;6;7;8;9}))))</f>
        <v>48</v>
      </c>
      <c r="S37" s="597" t="str">
        <f>INDEX(ETAPP!B$1:B$32,MATCH(COUNTIF(Z37:AI37,PVO!A$1),ETAPP!A$1:A$32,0))&amp;INDEX(ETAPP!B$1:B$32,MATCH(COUNTIF(Z37:AI37,PVO!A$2),ETAPP!A$1:A$32,0))&amp;INDEX(ETAPP!B$1:B$32,MATCH(COUNTIF(Z37:AI37,PVO!A$3),ETAPP!A$1:A$32,0))&amp;INDEX(ETAPP!B$1:B$32,MATCH(COUNTIF(Z37:AI37,PVO!A$4),ETAPP!A$1:A$32,0))&amp;INDEX(ETAPP!B$1:B$32,MATCH(COUNTIF(Z37:AI37,PVO!A$5),ETAPP!A$1:A$32,0))&amp;INDEX(ETAPP!B$1:B$32,MATCH(COUNTIF(Z37:AI37,PVO!A$6),ETAPP!A$1:A$32,0))&amp;INDEX(ETAPP!B$1:B$32,MATCH(COUNTIF(Z37:AI37,PVO!A$7),ETAPP!A$1:A$32,0))&amp;INDEX(ETAPP!B$1:B$32,MATCH(COUNTIF(Z37:AI37,PVO!A$8),ETAPP!A$1:A$32,0))&amp;INDEX(ETAPP!B$1:B$32,MATCH(COUNTIF(Z37:AI37,PVO!A$9),ETAPP!A$1:A$32,0))&amp;INDEX(ETAPP!B$1:B$32,MATCH(COUNTIF(Z37:AI37,PVO!A$10),ETAPP!A$1:A$32,0))&amp;INDEX(ETAPP!B$1:B$32,MATCH(COUNTIF(Z37:AI37,PVO!A$11),ETAPP!A$1:A$32,0))&amp;INDEX(ETAPP!B$1:B$32,MATCH(COUNTIF(Z37:AI37,PVO!A$12),ETAPP!A$1:A$32,0))&amp;INDEX(ETAPP!B$1:B$32,MATCH(COUNTIF(Z37:AI37,PVO!A$13),ETAPP!A$1:A$32,0))&amp;INDEX(ETAPP!B$1:B$32,MATCH(COUNTIF(Z37:AI37,PVO!A$14),ETAPP!A$1:A$32,0))&amp;INDEX(ETAPP!B$1:B$32,MATCH(COUNTIF(Z37:AI37,PVO!A$15),ETAPP!A$1:A$32,0))&amp;INDEX(ETAPP!B$1:B$32,MATCH(COUNTIF(Z37:AI37,PVO!A$16),ETAPP!A$1:A$32,0))&amp;INDEX(ETAPP!B$1:B$32,MATCH(COUNTIF(Z37:AI37,PVO!A$17),ETAPP!A$1:A$32,0))&amp;INDEX(ETAPP!B$1:B$32,MATCH(COUNTIF(Z37:AI37,PVO!A$18),ETAPP!A$1:A$32,0))&amp;INDEX(ETAPP!B$1:B$32,MATCH(COUNTIF(Z37:AI37,PVO!A$19),ETAPP!A$1:A$32,0))</f>
        <v>AA000000000A0000000</v>
      </c>
      <c r="T37" s="597" t="str">
        <f t="shared" si="5"/>
        <v>048,0-AA000000000A0000000</v>
      </c>
      <c r="U37" s="597">
        <f>COUNTIF(T$7:T$62,"&gt;="&amp;T37)</f>
        <v>31</v>
      </c>
      <c r="V37" s="597">
        <f>COUNTIF(L$7:L$62,"&gt;="&amp;L37)</f>
        <v>55</v>
      </c>
      <c r="W37" s="597" t="str">
        <f t="shared" si="6"/>
        <v>048,0-AA000000000A0000000-055</v>
      </c>
      <c r="X37" s="597">
        <f>COUNTIF(W$7:W$62,"&gt;="&amp;W37)</f>
        <v>31</v>
      </c>
      <c r="Y37" s="598">
        <f>RANK(X37,X$7:X$62,0)</f>
        <v>26</v>
      </c>
      <c r="Z37" s="599" t="str">
        <f>IFERROR(INDEX('V1'!C$300:C$400,MATCH("*"&amp;L37&amp;"*",'V1'!B$300:B$400,0)),"  ")</f>
        <v xml:space="preserve">  </v>
      </c>
      <c r="AA37" s="599">
        <f>IFERROR(INDEX('V2'!C$300:C$400,MATCH("*"&amp;L37&amp;"*",'V2'!B$300:B$400,0)),"  ")</f>
        <v>9</v>
      </c>
      <c r="AB37" s="599" t="str">
        <f>IFERROR(INDEX('V3'!C$300:C$400,MATCH("*"&amp;L37&amp;"*",'V3'!B$300:B$400,0)),"  ")</f>
        <v xml:space="preserve">  </v>
      </c>
      <c r="AC37" s="599" t="str">
        <f>IFERROR(INDEX('V4'!C$300:C$400,MATCH("*"&amp;L37&amp;"*",'V4'!B$300:B$400,0)),"  ")</f>
        <v xml:space="preserve">  </v>
      </c>
      <c r="AD37" s="599" t="str">
        <f>IFERROR(INDEX('V5'!C$300:C$400,MATCH("*"&amp;L37&amp;"*",'V5'!B$300:B$400,0)),"  ")</f>
        <v xml:space="preserve">  </v>
      </c>
      <c r="AE37" s="599" t="str">
        <f>IFERROR(INDEX('V6'!C$300:C$400,MATCH("*"&amp;L37&amp;"*",'V6'!B$300:B$400,0)),"  ")</f>
        <v xml:space="preserve">  </v>
      </c>
      <c r="AF37" s="599" t="str">
        <f>IFERROR(INDEX('V7'!C$300:C$400,MATCH("*"&amp;L37&amp;"*",'V7'!B$300:B$400,0)),"  ")</f>
        <v xml:space="preserve">  </v>
      </c>
      <c r="AG37" s="599">
        <f>IFERROR(INDEX('V8'!C$300:C$400,MATCH("*"&amp;L37&amp;"*",'V8'!B$300:B$400,0)),"  ")</f>
        <v>19</v>
      </c>
      <c r="AH37" s="599" t="str">
        <f>IFERROR(INDEX('V9'!C$300:C$400,MATCH("*"&amp;L37&amp;"*",'V9'!B$300:B$400,0)),"  ")</f>
        <v xml:space="preserve">  </v>
      </c>
      <c r="AI37" s="599">
        <f>IFERROR(INDEX('V10'!C$300:C$400,MATCH("*"&amp;L37&amp;"*",'V10'!B$300:B$400,0)),"  ")</f>
        <v>20</v>
      </c>
      <c r="AJ37" s="600">
        <f t="shared" si="7"/>
        <v>1</v>
      </c>
      <c r="AK37" s="600">
        <f t="shared" si="8"/>
        <v>26</v>
      </c>
      <c r="AL37" s="601" t="str">
        <f>IFERROR("edasi "&amp;RANK(AK37,AK$7:AK$62,0),K37)</f>
        <v>edasi 31</v>
      </c>
      <c r="AM37" s="602" t="str">
        <f>IFERROR(INDEX('V-fin'!A$300:A$400,MATCH("*"&amp;L37&amp;"*",'V-fin'!B$300:B$400,0)),"  ")</f>
        <v xml:space="preserve">  </v>
      </c>
      <c r="AN37" s="603">
        <f t="shared" si="9"/>
        <v>3</v>
      </c>
      <c r="AO37" s="604">
        <f>IFERROR(IF(Z37+1&gt;LARGE(Z$7:Z$62,1)-2,1),0)+IFERROR(IF(AA37+1&gt;LARGE(AA$7:AA$62,1)-2,1),0)+IFERROR(IF(AB37+1&gt;LARGE(AB$7:AB$62,1)-2,1),0)+IFERROR(IF(AC37+1&gt;LARGE(AC$7:AC$62,1)-2,1),0)+IFERROR(IF(AD37+1&gt;LARGE(AD$7:AD$62,1)-2,1),0)+IFERROR(IF(AE37+1&gt;LARGE(AE$7:AE$62,1)-2,1),0)+IFERROR(IF(AF37+1&gt;LARGE(AF$7:AF$62,1)-2,1),0)+IFERROR(IF(AG37+1&gt;LARGE(AG$7:AG$62,1)-2,1),0)+IFERROR(IF(AH37+1&gt;LARGE(AH$7:AH$62,1)-2,1),0)+IFERROR(IF(AI37+1&gt;LARGE(AI$7:AI$62,1)-2,1),0)</f>
        <v>2</v>
      </c>
      <c r="AP37" s="604">
        <f>IF(Z37=0,0,IF(Z37=IFERROR(LARGE(Z$7:Z$62,1),0),1,0))+IF(AA37=0,0,IF(AA37=IFERROR(LARGE(AA$7:AA$62,1),0),1,0))+IF(AB37=0,0,IF(AB37=IFERROR(LARGE(AB$7:AB$62,1),0),1,0))+IF(AC37=0,0,IF(AC37=IFERROR(LARGE(AC$7:AC$62,1),0),1,0))+IF(AD37=0,0,IF(AD37=IFERROR(LARGE(AD$7:AD$62,1),0),1,0))+IF(AE37=0,0,IF(AE37=IFERROR(LARGE(AE$7:AE$62,1),0),1,0))+IF(AF37=0,0,IF(AF37=IFERROR(LARGE(AF$7:AF$62,1),0),1,0))+IF(AG37=0,0,IF(AG37=IFERROR(LARGE(AG$7:AG$62,1),0),1,0))+IF(AH37=0,0,IF(AH37=IFERROR(LARGE(AH$7:AH$62,1),0),1,0))+IF(AI37=0,0,IF(AI37=IFERROR(LARGE(AI$7:AI$62,1),0),1,0))</f>
        <v>1</v>
      </c>
      <c r="AQ37" s="620"/>
      <c r="AW37" s="605">
        <f t="shared" si="10"/>
        <v>1E-4</v>
      </c>
      <c r="AX37" s="606">
        <f t="shared" si="15"/>
        <v>1E-4</v>
      </c>
      <c r="AY37" s="606">
        <f t="shared" si="15"/>
        <v>9.0001999999999995</v>
      </c>
      <c r="AZ37" s="606">
        <f t="shared" si="15"/>
        <v>2.9999999999999997E-4</v>
      </c>
      <c r="BA37" s="606">
        <f t="shared" si="15"/>
        <v>4.0000000000000002E-4</v>
      </c>
      <c r="BB37" s="606">
        <f t="shared" si="15"/>
        <v>5.0000000000000001E-4</v>
      </c>
      <c r="BC37" s="606">
        <f t="shared" si="14"/>
        <v>5.9999999999999995E-4</v>
      </c>
      <c r="BD37" s="606">
        <f t="shared" si="14"/>
        <v>6.9999999999999999E-4</v>
      </c>
      <c r="BE37" s="606">
        <f t="shared" si="14"/>
        <v>19.000800000000002</v>
      </c>
      <c r="BF37" s="606">
        <f t="shared" si="14"/>
        <v>8.9999999999999998E-4</v>
      </c>
      <c r="BG37" s="606">
        <f t="shared" si="14"/>
        <v>20.001000000000001</v>
      </c>
    </row>
    <row r="38" spans="1:59" x14ac:dyDescent="0.2">
      <c r="A38" s="583" t="str">
        <f>IF(R38&gt;0,IF(Q38="v",RANK(B38,B$7:B$62,1)-COUNTBLANK(Q$7:Q$62),""),"")</f>
        <v/>
      </c>
      <c r="B38" s="584">
        <f t="shared" si="0"/>
        <v>-967</v>
      </c>
      <c r="C38" s="585" t="str">
        <f>IF(R38&gt;0,IF(P38="k",RANK(D38,D$7:D$62,1)-COUNTBLANK(P$7:P$62),""),"")</f>
        <v/>
      </c>
      <c r="D38" s="584">
        <f t="shared" si="1"/>
        <v>-967</v>
      </c>
      <c r="E38" s="586">
        <f>IF(R38&gt;0,IF(N38="m",RANK(F38,F$7:F$62,1)-COUNTBLANK(N$7:N$62),""),"")</f>
        <v>28</v>
      </c>
      <c r="F38" s="584">
        <f t="shared" si="2"/>
        <v>33</v>
      </c>
      <c r="G38" s="587" t="str">
        <f>IF(R38&gt;0,IF(M38="n",RANK(H38,H$7:H$62,1)-COUNTBLANK(M$7:M$62),""),"")</f>
        <v/>
      </c>
      <c r="H38" s="584">
        <f t="shared" si="3"/>
        <v>-967</v>
      </c>
      <c r="I38" s="588" t="str">
        <f>IF(R38&gt;0,IF(O38="j",RANK(J38,J$7:J$62,1)-COUNTBLANK(O$7:O$62),""),"")</f>
        <v/>
      </c>
      <c r="J38" s="589">
        <f t="shared" si="4"/>
        <v>-967</v>
      </c>
      <c r="K38" s="548">
        <f>IF(R38&gt;0,RANK(U38,U$7:U$62,1),"")</f>
        <v>32</v>
      </c>
      <c r="L38" s="609" t="s">
        <v>230</v>
      </c>
      <c r="M38" s="591"/>
      <c r="N38" s="592" t="str">
        <f>IF(M38="","m","")</f>
        <v>m</v>
      </c>
      <c r="O38" s="593"/>
      <c r="P38" s="594"/>
      <c r="Q38" s="595"/>
      <c r="R38" s="596">
        <f>(IF(COUNT(Z38,AA38,AB38,AC38,AD38,AE38,AF38,AG38,AH38,AI38)&lt;9,SUM(Z38,AA38,AB38,AC38,AD38,AE38,AF38,AG38,AH38,AI38),SUM(LARGE((Z38,AA38,AB38,AC38,AD38,AE38,AF38,AG38,AH38,AI38),{1;2;3;4;5;6;7;8;9}))))</f>
        <v>48</v>
      </c>
      <c r="S38" s="597" t="str">
        <f>INDEX(ETAPP!B$1:B$32,MATCH(COUNTIF(Z38:AI38,PVO!A$1),ETAPP!A$1:A$32,0))&amp;INDEX(ETAPP!B$1:B$32,MATCH(COUNTIF(Z38:AI38,PVO!A$2),ETAPP!A$1:A$32,0))&amp;INDEX(ETAPP!B$1:B$32,MATCH(COUNTIF(Z38:AI38,PVO!A$3),ETAPP!A$1:A$32,0))&amp;INDEX(ETAPP!B$1:B$32,MATCH(COUNTIF(Z38:AI38,PVO!A$4),ETAPP!A$1:A$32,0))&amp;INDEX(ETAPP!B$1:B$32,MATCH(COUNTIF(Z38:AI38,PVO!A$5),ETAPP!A$1:A$32,0))&amp;INDEX(ETAPP!B$1:B$32,MATCH(COUNTIF(Z38:AI38,PVO!A$6),ETAPP!A$1:A$32,0))&amp;INDEX(ETAPP!B$1:B$32,MATCH(COUNTIF(Z38:AI38,PVO!A$7),ETAPP!A$1:A$32,0))&amp;INDEX(ETAPP!B$1:B$32,MATCH(COUNTIF(Z38:AI38,PVO!A$8),ETAPP!A$1:A$32,0))&amp;INDEX(ETAPP!B$1:B$32,MATCH(COUNTIF(Z38:AI38,PVO!A$9),ETAPP!A$1:A$32,0))&amp;INDEX(ETAPP!B$1:B$32,MATCH(COUNTIF(Z38:AI38,PVO!A$10),ETAPP!A$1:A$32,0))&amp;INDEX(ETAPP!B$1:B$32,MATCH(COUNTIF(Z38:AI38,PVO!A$11),ETAPP!A$1:A$32,0))&amp;INDEX(ETAPP!B$1:B$32,MATCH(COUNTIF(Z38:AI38,PVO!A$12),ETAPP!A$1:A$32,0))&amp;INDEX(ETAPP!B$1:B$32,MATCH(COUNTIF(Z38:AI38,PVO!A$13),ETAPP!A$1:A$32,0))&amp;INDEX(ETAPP!B$1:B$32,MATCH(COUNTIF(Z38:AI38,PVO!A$14),ETAPP!A$1:A$32,0))&amp;INDEX(ETAPP!B$1:B$32,MATCH(COUNTIF(Z38:AI38,PVO!A$15),ETAPP!A$1:A$32,0))&amp;INDEX(ETAPP!B$1:B$32,MATCH(COUNTIF(Z38:AI38,PVO!A$16),ETAPP!A$1:A$32,0))&amp;INDEX(ETAPP!B$1:B$32,MATCH(COUNTIF(Z38:AI38,PVO!A$17),ETAPP!A$1:A$32,0))&amp;INDEX(ETAPP!B$1:B$32,MATCH(COUNTIF(Z38:AI38,PVO!A$18),ETAPP!A$1:A$32,0))&amp;INDEX(ETAPP!B$1:B$32,MATCH(COUNTIF(Z38:AI38,PVO!A$19),ETAPP!A$1:A$32,0))</f>
        <v>000AAA0000000000000</v>
      </c>
      <c r="T38" s="597" t="str">
        <f t="shared" si="5"/>
        <v>048,0-000AAA0000000000000</v>
      </c>
      <c r="U38" s="597">
        <f>COUNTIF(T$7:T$62,"&gt;="&amp;T38)</f>
        <v>33</v>
      </c>
      <c r="V38" s="597">
        <f>COUNTIF(L$7:L$62,"&gt;="&amp;L38)</f>
        <v>56</v>
      </c>
      <c r="W38" s="597" t="str">
        <f t="shared" si="6"/>
        <v>048,0-000AAA0000000000000-056</v>
      </c>
      <c r="X38" s="597">
        <f>COUNTIF(W$7:W$62,"&gt;="&amp;W38)</f>
        <v>32</v>
      </c>
      <c r="Y38" s="598">
        <f>RANK(X38,X$7:X$62,0)</f>
        <v>25</v>
      </c>
      <c r="Z38" s="599" t="str">
        <f>IFERROR(INDEX('V1'!C$300:C$400,MATCH("*"&amp;L38&amp;"*",'V1'!B$300:B$400,0)),"  ")</f>
        <v xml:space="preserve">  </v>
      </c>
      <c r="AA38" s="599">
        <f>IFERROR(INDEX('V2'!C$300:C$400,MATCH("*"&amp;L38&amp;"*",'V2'!B$300:B$400,0)),"  ")</f>
        <v>17</v>
      </c>
      <c r="AB38" s="599" t="str">
        <f>IFERROR(INDEX('V3'!C$300:C$400,MATCH("*"&amp;L38&amp;"*",'V3'!B$300:B$400,0)),"  ")</f>
        <v xml:space="preserve">  </v>
      </c>
      <c r="AC38" s="599" t="str">
        <f>IFERROR(INDEX('V4'!C$300:C$400,MATCH("*"&amp;L38&amp;"*",'V4'!B$300:B$400,0)),"  ")</f>
        <v xml:space="preserve">  </v>
      </c>
      <c r="AD38" s="599" t="str">
        <f>IFERROR(INDEX('V5'!C$300:C$400,MATCH("*"&amp;L38&amp;"*",'V5'!B$300:B$400,0)),"  ")</f>
        <v xml:space="preserve">  </v>
      </c>
      <c r="AE38" s="599" t="str">
        <f>IFERROR(INDEX('V6'!C$300:C$400,MATCH("*"&amp;L38&amp;"*",'V6'!B$300:B$400,0)),"  ")</f>
        <v xml:space="preserve">  </v>
      </c>
      <c r="AF38" s="599" t="str">
        <f>IFERROR(INDEX('V7'!C$300:C$400,MATCH("*"&amp;L38&amp;"*",'V7'!B$300:B$400,0)),"  ")</f>
        <v xml:space="preserve">  </v>
      </c>
      <c r="AG38" s="599" t="str">
        <f>IFERROR(INDEX('V8'!C$300:C$400,MATCH("*"&amp;L38&amp;"*",'V8'!B$300:B$400,0)),"  ")</f>
        <v xml:space="preserve">  </v>
      </c>
      <c r="AH38" s="599">
        <f>IFERROR(INDEX('V9'!C$300:C$400,MATCH("*"&amp;L38&amp;"*",'V9'!B$300:B$400,0)),"  ")</f>
        <v>15</v>
      </c>
      <c r="AI38" s="599">
        <f>IFERROR(INDEX('V10'!C$300:C$400,MATCH("*"&amp;L38&amp;"*",'V10'!B$300:B$400,0)),"  ")</f>
        <v>16</v>
      </c>
      <c r="AJ38" s="600">
        <f t="shared" si="7"/>
        <v>1</v>
      </c>
      <c r="AK38" s="600">
        <f t="shared" si="8"/>
        <v>25</v>
      </c>
      <c r="AL38" s="601" t="str">
        <f>IFERROR("edasi "&amp;RANK(AK38,AK$7:AK$62,0),K38)</f>
        <v>edasi 32</v>
      </c>
      <c r="AM38" s="602">
        <f>IFERROR(INDEX('V-fin'!A$300:A$400,MATCH("*"&amp;L38&amp;"*",'V-fin'!B$300:B$400,0)),"  ")</f>
        <v>10</v>
      </c>
      <c r="AN38" s="603">
        <f t="shared" si="9"/>
        <v>3</v>
      </c>
      <c r="AO38" s="604">
        <f>IFERROR(IF(Z38+1&gt;LARGE(Z$7:Z$62,1)-2,1),0)+IFERROR(IF(AA38+1&gt;LARGE(AA$7:AA$62,1)-2,1),0)+IFERROR(IF(AB38+1&gt;LARGE(AB$7:AB$62,1)-2,1),0)+IFERROR(IF(AC38+1&gt;LARGE(AC$7:AC$62,1)-2,1),0)+IFERROR(IF(AD38+1&gt;LARGE(AD$7:AD$62,1)-2,1),0)+IFERROR(IF(AE38+1&gt;LARGE(AE$7:AE$62,1)-2,1),0)+IFERROR(IF(AF38+1&gt;LARGE(AF$7:AF$62,1)-2,1),0)+IFERROR(IF(AG38+1&gt;LARGE(AG$7:AG$62,1)-2,1),0)+IFERROR(IF(AH38+1&gt;LARGE(AH$7:AH$62,1)-2,1),0)+IFERROR(IF(AI38+1&gt;LARGE(AI$7:AI$62,1)-2,1),0)</f>
        <v>0</v>
      </c>
      <c r="AP38" s="604">
        <f>IF(Z38=0,0,IF(Z38=IFERROR(LARGE(Z$7:Z$62,1),0),1,0))+IF(AA38=0,0,IF(AA38=IFERROR(LARGE(AA$7:AA$62,1),0),1,0))+IF(AB38=0,0,IF(AB38=IFERROR(LARGE(AB$7:AB$62,1),0),1,0))+IF(AC38=0,0,IF(AC38=IFERROR(LARGE(AC$7:AC$62,1),0),1,0))+IF(AD38=0,0,IF(AD38=IFERROR(LARGE(AD$7:AD$62,1),0),1,0))+IF(AE38=0,0,IF(AE38=IFERROR(LARGE(AE$7:AE$62,1),0),1,0))+IF(AF38=0,0,IF(AF38=IFERROR(LARGE(AF$7:AF$62,1),0),1,0))+IF(AG38=0,0,IF(AG38=IFERROR(LARGE(AG$7:AG$62,1),0),1,0))+IF(AH38=0,0,IF(AH38=IFERROR(LARGE(AH$7:AH$62,1),0),1,0))+IF(AI38=0,0,IF(AI38=IFERROR(LARGE(AI$7:AI$62,1),0),1,0))</f>
        <v>0</v>
      </c>
      <c r="AQ38" s="512"/>
      <c r="AW38" s="605">
        <f t="shared" si="10"/>
        <v>1E-4</v>
      </c>
      <c r="AX38" s="606">
        <f t="shared" si="15"/>
        <v>1E-4</v>
      </c>
      <c r="AY38" s="606">
        <f t="shared" si="15"/>
        <v>17.0002</v>
      </c>
      <c r="AZ38" s="606">
        <f t="shared" si="15"/>
        <v>2.9999999999999997E-4</v>
      </c>
      <c r="BA38" s="606">
        <f t="shared" si="15"/>
        <v>4.0000000000000002E-4</v>
      </c>
      <c r="BB38" s="606">
        <f t="shared" si="15"/>
        <v>5.0000000000000001E-4</v>
      </c>
      <c r="BC38" s="606">
        <f t="shared" si="14"/>
        <v>5.9999999999999995E-4</v>
      </c>
      <c r="BD38" s="606">
        <f t="shared" si="14"/>
        <v>6.9999999999999999E-4</v>
      </c>
      <c r="BE38" s="606">
        <f t="shared" si="14"/>
        <v>8.0000000000000004E-4</v>
      </c>
      <c r="BF38" s="606">
        <f t="shared" si="14"/>
        <v>15.0009</v>
      </c>
      <c r="BG38" s="606">
        <f t="shared" si="14"/>
        <v>16.001000000000001</v>
      </c>
    </row>
    <row r="39" spans="1:59" x14ac:dyDescent="0.2">
      <c r="A39" s="583" t="str">
        <f>IF(R39&gt;0,IF(Q39="v",RANK(B39,B$7:B$62,1)-COUNTBLANK(Q$7:Q$62),""),"")</f>
        <v/>
      </c>
      <c r="B39" s="584">
        <f t="shared" si="0"/>
        <v>-967</v>
      </c>
      <c r="C39" s="585" t="str">
        <f>IF(R39&gt;0,IF(P39="k",RANK(D39,D$7:D$62,1)-COUNTBLANK(P$7:P$62),""),"")</f>
        <v/>
      </c>
      <c r="D39" s="584">
        <f t="shared" si="1"/>
        <v>-967</v>
      </c>
      <c r="E39" s="586">
        <f>IF(R39&gt;0,IF(N39="m",RANK(F39,F$7:F$62,1)-COUNTBLANK(N$7:N$62),""),"")</f>
        <v>28</v>
      </c>
      <c r="F39" s="584">
        <f t="shared" si="2"/>
        <v>33</v>
      </c>
      <c r="G39" s="587" t="str">
        <f>IF(R39&gt;0,IF(M39="n",RANK(H39,H$7:H$62,1)-COUNTBLANK(M$7:M$62),""),"")</f>
        <v/>
      </c>
      <c r="H39" s="584">
        <f t="shared" si="3"/>
        <v>-967</v>
      </c>
      <c r="I39" s="588" t="str">
        <f>IF(R39&gt;0,IF(O39="j",RANK(J39,J$7:J$62,1)-COUNTBLANK(O$7:O$62),""),"")</f>
        <v/>
      </c>
      <c r="J39" s="589">
        <f t="shared" si="4"/>
        <v>-967</v>
      </c>
      <c r="K39" s="548">
        <f>IF(R39&gt;0,RANK(U39,U$7:U$62,1),"")</f>
        <v>32</v>
      </c>
      <c r="L39" s="590" t="s">
        <v>229</v>
      </c>
      <c r="M39" s="591"/>
      <c r="N39" s="592" t="str">
        <f>IF(M39="","m","")</f>
        <v>m</v>
      </c>
      <c r="O39" s="593"/>
      <c r="P39" s="594"/>
      <c r="Q39" s="595"/>
      <c r="R39" s="596">
        <f>(IF(COUNT(Z39,AA39,AB39,AC39,AD39,AE39,AF39,AG39,AH39,AI39)&lt;9,SUM(Z39,AA39,AB39,AC39,AD39,AE39,AF39,AG39,AH39,AI39),SUM(LARGE((Z39,AA39,AB39,AC39,AD39,AE39,AF39,AG39,AH39,AI39),{1;2;3;4;5;6;7;8;9}))))</f>
        <v>48</v>
      </c>
      <c r="S39" s="597" t="str">
        <f>INDEX(ETAPP!B$1:B$32,MATCH(COUNTIF(Z39:AI39,PVO!A$1),ETAPP!A$1:A$32,0))&amp;INDEX(ETAPP!B$1:B$32,MATCH(COUNTIF(Z39:AI39,PVO!A$2),ETAPP!A$1:A$32,0))&amp;INDEX(ETAPP!B$1:B$32,MATCH(COUNTIF(Z39:AI39,PVO!A$3),ETAPP!A$1:A$32,0))&amp;INDEX(ETAPP!B$1:B$32,MATCH(COUNTIF(Z39:AI39,PVO!A$4),ETAPP!A$1:A$32,0))&amp;INDEX(ETAPP!B$1:B$32,MATCH(COUNTIF(Z39:AI39,PVO!A$5),ETAPP!A$1:A$32,0))&amp;INDEX(ETAPP!B$1:B$32,MATCH(COUNTIF(Z39:AI39,PVO!A$6),ETAPP!A$1:A$32,0))&amp;INDEX(ETAPP!B$1:B$32,MATCH(COUNTIF(Z39:AI39,PVO!A$7),ETAPP!A$1:A$32,0))&amp;INDEX(ETAPP!B$1:B$32,MATCH(COUNTIF(Z39:AI39,PVO!A$8),ETAPP!A$1:A$32,0))&amp;INDEX(ETAPP!B$1:B$32,MATCH(COUNTIF(Z39:AI39,PVO!A$9),ETAPP!A$1:A$32,0))&amp;INDEX(ETAPP!B$1:B$32,MATCH(COUNTIF(Z39:AI39,PVO!A$10),ETAPP!A$1:A$32,0))&amp;INDEX(ETAPP!B$1:B$32,MATCH(COUNTIF(Z39:AI39,PVO!A$11),ETAPP!A$1:A$32,0))&amp;INDEX(ETAPP!B$1:B$32,MATCH(COUNTIF(Z39:AI39,PVO!A$12),ETAPP!A$1:A$32,0))&amp;INDEX(ETAPP!B$1:B$32,MATCH(COUNTIF(Z39:AI39,PVO!A$13),ETAPP!A$1:A$32,0))&amp;INDEX(ETAPP!B$1:B$32,MATCH(COUNTIF(Z39:AI39,PVO!A$14),ETAPP!A$1:A$32,0))&amp;INDEX(ETAPP!B$1:B$32,MATCH(COUNTIF(Z39:AI39,PVO!A$15),ETAPP!A$1:A$32,0))&amp;INDEX(ETAPP!B$1:B$32,MATCH(COUNTIF(Z39:AI39,PVO!A$16),ETAPP!A$1:A$32,0))&amp;INDEX(ETAPP!B$1:B$32,MATCH(COUNTIF(Z39:AI39,PVO!A$17),ETAPP!A$1:A$32,0))&amp;INDEX(ETAPP!B$1:B$32,MATCH(COUNTIF(Z39:AI39,PVO!A$18),ETAPP!A$1:A$32,0))&amp;INDEX(ETAPP!B$1:B$32,MATCH(COUNTIF(Z39:AI39,PVO!A$19),ETAPP!A$1:A$32,0))</f>
        <v>000AAA0000000000000</v>
      </c>
      <c r="T39" s="597" t="str">
        <f t="shared" si="5"/>
        <v>048,0-000AAA0000000000000</v>
      </c>
      <c r="U39" s="597">
        <f>COUNTIF(T$7:T$62,"&gt;="&amp;T39)</f>
        <v>33</v>
      </c>
      <c r="V39" s="597">
        <f>COUNTIF(L$7:L$62,"&gt;="&amp;L39)</f>
        <v>38</v>
      </c>
      <c r="W39" s="597" t="str">
        <f t="shared" si="6"/>
        <v>048,0-000AAA0000000000000-038</v>
      </c>
      <c r="X39" s="597">
        <f>COUNTIF(W$7:W$62,"&gt;="&amp;W39)</f>
        <v>33</v>
      </c>
      <c r="Y39" s="598">
        <f>RANK(X39,X$7:X$62,0)</f>
        <v>24</v>
      </c>
      <c r="Z39" s="599" t="str">
        <f>IFERROR(INDEX('V1'!C$300:C$400,MATCH("*"&amp;L39&amp;"*",'V1'!B$300:B$400,0)),"  ")</f>
        <v xml:space="preserve">  </v>
      </c>
      <c r="AA39" s="599">
        <f>IFERROR(INDEX('V2'!C$300:C$400,MATCH("*"&amp;L39&amp;"*",'V2'!B$300:B$400,0)),"  ")</f>
        <v>17</v>
      </c>
      <c r="AB39" s="599" t="str">
        <f>IFERROR(INDEX('V3'!C$300:C$400,MATCH("*"&amp;L39&amp;"*",'V3'!B$300:B$400,0)),"  ")</f>
        <v xml:space="preserve">  </v>
      </c>
      <c r="AC39" s="599" t="str">
        <f>IFERROR(INDEX('V4'!C$300:C$400,MATCH("*"&amp;L39&amp;"*",'V4'!B$300:B$400,0)),"  ")</f>
        <v xml:space="preserve">  </v>
      </c>
      <c r="AD39" s="599" t="str">
        <f>IFERROR(INDEX('V5'!C$300:C$400,MATCH("*"&amp;L39&amp;"*",'V5'!B$300:B$400,0)),"  ")</f>
        <v xml:space="preserve">  </v>
      </c>
      <c r="AE39" s="599" t="str">
        <f>IFERROR(INDEX('V6'!C$300:C$400,MATCH("*"&amp;L39&amp;"*",'V6'!B$300:B$400,0)),"  ")</f>
        <v xml:space="preserve">  </v>
      </c>
      <c r="AF39" s="599" t="str">
        <f>IFERROR(INDEX('V7'!C$300:C$400,MATCH("*"&amp;L39&amp;"*",'V7'!B$300:B$400,0)),"  ")</f>
        <v xml:space="preserve">  </v>
      </c>
      <c r="AG39" s="599" t="str">
        <f>IFERROR(INDEX('V8'!C$300:C$400,MATCH("*"&amp;L39&amp;"*",'V8'!B$300:B$400,0)),"  ")</f>
        <v xml:space="preserve">  </v>
      </c>
      <c r="AH39" s="599">
        <f>IFERROR(INDEX('V9'!C$300:C$400,MATCH("*"&amp;L39&amp;"*",'V9'!B$300:B$400,0)),"  ")</f>
        <v>15</v>
      </c>
      <c r="AI39" s="599">
        <f>IFERROR(INDEX('V10'!C$300:C$400,MATCH("*"&amp;L39&amp;"*",'V10'!B$300:B$400,0)),"  ")</f>
        <v>16</v>
      </c>
      <c r="AJ39" s="600">
        <f t="shared" si="7"/>
        <v>1</v>
      </c>
      <c r="AK39" s="600">
        <f t="shared" si="8"/>
        <v>24</v>
      </c>
      <c r="AL39" s="601" t="str">
        <f>IFERROR("edasi "&amp;RANK(AK39,AK$7:AK$62,0),K39)</f>
        <v>edasi 33</v>
      </c>
      <c r="AM39" s="602">
        <f>IFERROR(INDEX('V-fin'!A$300:A$400,MATCH("*"&amp;L39&amp;"*",'V-fin'!B$300:B$400,0)),"  ")</f>
        <v>3</v>
      </c>
      <c r="AN39" s="603">
        <f t="shared" si="9"/>
        <v>3</v>
      </c>
      <c r="AO39" s="604">
        <f>IFERROR(IF(Z39+1&gt;LARGE(Z$7:Z$62,1)-2,1),0)+IFERROR(IF(AA39+1&gt;LARGE(AA$7:AA$62,1)-2,1),0)+IFERROR(IF(AB39+1&gt;LARGE(AB$7:AB$62,1)-2,1),0)+IFERROR(IF(AC39+1&gt;LARGE(AC$7:AC$62,1)-2,1),0)+IFERROR(IF(AD39+1&gt;LARGE(AD$7:AD$62,1)-2,1),0)+IFERROR(IF(AE39+1&gt;LARGE(AE$7:AE$62,1)-2,1),0)+IFERROR(IF(AF39+1&gt;LARGE(AF$7:AF$62,1)-2,1),0)+IFERROR(IF(AG39+1&gt;LARGE(AG$7:AG$62,1)-2,1),0)+IFERROR(IF(AH39+1&gt;LARGE(AH$7:AH$62,1)-2,1),0)+IFERROR(IF(AI39+1&gt;LARGE(AI$7:AI$62,1)-2,1),0)</f>
        <v>0</v>
      </c>
      <c r="AP39" s="604">
        <f>IF(Z39=0,0,IF(Z39=IFERROR(LARGE(Z$7:Z$62,1),0),1,0))+IF(AA39=0,0,IF(AA39=IFERROR(LARGE(AA$7:AA$62,1),0),1,0))+IF(AB39=0,0,IF(AB39=IFERROR(LARGE(AB$7:AB$62,1),0),1,0))+IF(AC39=0,0,IF(AC39=IFERROR(LARGE(AC$7:AC$62,1),0),1,0))+IF(AD39=0,0,IF(AD39=IFERROR(LARGE(AD$7:AD$62,1),0),1,0))+IF(AE39=0,0,IF(AE39=IFERROR(LARGE(AE$7:AE$62,1),0),1,0))+IF(AF39=0,0,IF(AF39=IFERROR(LARGE(AF$7:AF$62,1),0),1,0))+IF(AG39=0,0,IF(AG39=IFERROR(LARGE(AG$7:AG$62,1),0),1,0))+IF(AH39=0,0,IF(AH39=IFERROR(LARGE(AH$7:AH$62,1),0),1,0))+IF(AI39=0,0,IF(AI39=IFERROR(LARGE(AI$7:AI$62,1),0),1,0))</f>
        <v>0</v>
      </c>
      <c r="AQ39" s="620"/>
      <c r="AR39" s="605"/>
      <c r="AS39" s="606"/>
      <c r="AT39" s="606"/>
      <c r="AU39" s="606"/>
      <c r="AV39" s="606"/>
      <c r="AW39" s="605">
        <f t="shared" si="10"/>
        <v>1E-4</v>
      </c>
      <c r="AX39" s="606">
        <f t="shared" si="15"/>
        <v>1E-4</v>
      </c>
      <c r="AY39" s="606">
        <f t="shared" si="15"/>
        <v>17.0002</v>
      </c>
      <c r="AZ39" s="606">
        <f t="shared" si="15"/>
        <v>2.9999999999999997E-4</v>
      </c>
      <c r="BA39" s="606">
        <f t="shared" si="15"/>
        <v>4.0000000000000002E-4</v>
      </c>
      <c r="BB39" s="606">
        <f t="shared" si="15"/>
        <v>5.0000000000000001E-4</v>
      </c>
      <c r="BC39" s="606">
        <f t="shared" si="14"/>
        <v>5.9999999999999995E-4</v>
      </c>
      <c r="BD39" s="606">
        <f t="shared" si="14"/>
        <v>6.9999999999999999E-4</v>
      </c>
      <c r="BE39" s="606">
        <f t="shared" si="14"/>
        <v>8.0000000000000004E-4</v>
      </c>
      <c r="BF39" s="606">
        <f t="shared" si="14"/>
        <v>15.0009</v>
      </c>
      <c r="BG39" s="606">
        <f t="shared" si="14"/>
        <v>16.001000000000001</v>
      </c>
    </row>
    <row r="40" spans="1:59" x14ac:dyDescent="0.2">
      <c r="A40" s="583" t="str">
        <f>IF(R40&gt;0,IF(Q40="v",RANK(B40,B$7:B$62,1)-COUNTBLANK(Q$7:Q$62),""),"")</f>
        <v/>
      </c>
      <c r="B40" s="584">
        <f t="shared" si="0"/>
        <v>-966</v>
      </c>
      <c r="C40" s="585" t="str">
        <f>IF(R40&gt;0,IF(P40="k",RANK(D40,D$7:D$62,1)-COUNTBLANK(P$7:P$62),""),"")</f>
        <v/>
      </c>
      <c r="D40" s="584">
        <f t="shared" si="1"/>
        <v>-966</v>
      </c>
      <c r="E40" s="586">
        <f>IF(R40&gt;0,IF(N40="m",RANK(F40,F$7:F$62,1)-COUNTBLANK(N$7:N$62),""),"")</f>
        <v>30</v>
      </c>
      <c r="F40" s="584">
        <f t="shared" si="2"/>
        <v>34</v>
      </c>
      <c r="G40" s="587" t="str">
        <f>IF(R40&gt;0,IF(M40="n",RANK(H40,H$7:H$62,1)-COUNTBLANK(M$7:M$62),""),"")</f>
        <v/>
      </c>
      <c r="H40" s="584">
        <f t="shared" si="3"/>
        <v>-966</v>
      </c>
      <c r="I40" s="588" t="str">
        <f>IF(R40&gt;0,IF(O40="j",RANK(J40,J$7:J$62,1)-COUNTBLANK(O$7:O$62),""),"")</f>
        <v/>
      </c>
      <c r="J40" s="589">
        <f t="shared" si="4"/>
        <v>-966</v>
      </c>
      <c r="K40" s="548">
        <f>IF(R40&gt;0,RANK(U40,U$7:U$62,1),"")</f>
        <v>34</v>
      </c>
      <c r="L40" s="607" t="s">
        <v>220</v>
      </c>
      <c r="M40" s="591"/>
      <c r="N40" s="592" t="str">
        <f>IF(M40="","m","")</f>
        <v>m</v>
      </c>
      <c r="O40" s="593"/>
      <c r="P40" s="594"/>
      <c r="Q40" s="595"/>
      <c r="R40" s="596">
        <f>(IF(COUNT(Z40,AA40,AB40,AC40,AD40,AE40,AF40,AG40,AH40,AI40)&lt;9,SUM(Z40,AA40,AB40,AC40,AD40,AE40,AF40,AG40,AH40,AI40),SUM(LARGE((Z40,AA40,AB40,AC40,AD40,AE40,AF40,AG40,AH40,AI40),{1;2;3;4;5;6;7;8;9}))))</f>
        <v>46</v>
      </c>
      <c r="S40" s="597" t="str">
        <f>INDEX(ETAPP!B$1:B$32,MATCH(COUNTIF(Z40:AI40,PVO!A$1),ETAPP!A$1:A$32,0))&amp;INDEX(ETAPP!B$1:B$32,MATCH(COUNTIF(Z40:AI40,PVO!A$2),ETAPP!A$1:A$32,0))&amp;INDEX(ETAPP!B$1:B$32,MATCH(COUNTIF(Z40:AI40,PVO!A$3),ETAPP!A$1:A$32,0))&amp;INDEX(ETAPP!B$1:B$32,MATCH(COUNTIF(Z40:AI40,PVO!A$4),ETAPP!A$1:A$32,0))&amp;INDEX(ETAPP!B$1:B$32,MATCH(COUNTIF(Z40:AI40,PVO!A$5),ETAPP!A$1:A$32,0))&amp;INDEX(ETAPP!B$1:B$32,MATCH(COUNTIF(Z40:AI40,PVO!A$6),ETAPP!A$1:A$32,0))&amp;INDEX(ETAPP!B$1:B$32,MATCH(COUNTIF(Z40:AI40,PVO!A$7),ETAPP!A$1:A$32,0))&amp;INDEX(ETAPP!B$1:B$32,MATCH(COUNTIF(Z40:AI40,PVO!A$8),ETAPP!A$1:A$32,0))&amp;INDEX(ETAPP!B$1:B$32,MATCH(COUNTIF(Z40:AI40,PVO!A$9),ETAPP!A$1:A$32,0))&amp;INDEX(ETAPP!B$1:B$32,MATCH(COUNTIF(Z40:AI40,PVO!A$10),ETAPP!A$1:A$32,0))&amp;INDEX(ETAPP!B$1:B$32,MATCH(COUNTIF(Z40:AI40,PVO!A$11),ETAPP!A$1:A$32,0))&amp;INDEX(ETAPP!B$1:B$32,MATCH(COUNTIF(Z40:AI40,PVO!A$12),ETAPP!A$1:A$32,0))&amp;INDEX(ETAPP!B$1:B$32,MATCH(COUNTIF(Z40:AI40,PVO!A$13),ETAPP!A$1:A$32,0))&amp;INDEX(ETAPP!B$1:B$32,MATCH(COUNTIF(Z40:AI40,PVO!A$14),ETAPP!A$1:A$32,0))&amp;INDEX(ETAPP!B$1:B$32,MATCH(COUNTIF(Z40:AI40,PVO!A$15),ETAPP!A$1:A$32,0))&amp;INDEX(ETAPP!B$1:B$32,MATCH(COUNTIF(Z40:AI40,PVO!A$16),ETAPP!A$1:A$32,0))&amp;INDEX(ETAPP!B$1:B$32,MATCH(COUNTIF(Z40:AI40,PVO!A$17),ETAPP!A$1:A$32,0))&amp;INDEX(ETAPP!B$1:B$32,MATCH(COUNTIF(Z40:AI40,PVO!A$18),ETAPP!A$1:A$32,0))&amp;INDEX(ETAPP!B$1:B$32,MATCH(COUNTIF(Z40:AI40,PVO!A$19),ETAPP!A$1:A$32,0))</f>
        <v>0A00A0000A000000000</v>
      </c>
      <c r="T40" s="597" t="str">
        <f t="shared" si="5"/>
        <v>046,0-0A00A0000A000000000</v>
      </c>
      <c r="U40" s="597">
        <f>COUNTIF(T$7:T$62,"&gt;="&amp;T40)</f>
        <v>34</v>
      </c>
      <c r="V40" s="597">
        <f>COUNTIF(L$7:L$62,"&gt;="&amp;L40)</f>
        <v>19</v>
      </c>
      <c r="W40" s="597" t="str">
        <f t="shared" si="6"/>
        <v>046,0-0A00A0000A000000000-019</v>
      </c>
      <c r="X40" s="597">
        <f>COUNTIF(W$7:W$62,"&gt;="&amp;W40)</f>
        <v>34</v>
      </c>
      <c r="Y40" s="598">
        <f>RANK(X40,X$7:X$62,0)</f>
        <v>23</v>
      </c>
      <c r="Z40" s="599" t="str">
        <f>IFERROR(INDEX('V1'!C$300:C$400,MATCH("*"&amp;L40&amp;"*",'V1'!B$300:B$400,0)),"  ")</f>
        <v xml:space="preserve">  </v>
      </c>
      <c r="AA40" s="599">
        <f>IFERROR(INDEX('V2'!C$300:C$400,MATCH("*"&amp;L40&amp;"*",'V2'!B$300:B$400,0)),"  ")</f>
        <v>11</v>
      </c>
      <c r="AB40" s="599" t="str">
        <f>IFERROR(INDEX('V3'!C$300:C$400,MATCH("*"&amp;L40&amp;"*",'V3'!B$300:B$400,0)),"  ")</f>
        <v xml:space="preserve">  </v>
      </c>
      <c r="AC40" s="599" t="str">
        <f>IFERROR(INDEX('V4'!C$300:C$400,MATCH("*"&amp;L40&amp;"*",'V4'!B$300:B$400,0)),"  ")</f>
        <v xml:space="preserve">  </v>
      </c>
      <c r="AD40" s="599" t="str">
        <f>IFERROR(INDEX('V5'!C$300:C$400,MATCH("*"&amp;L40&amp;"*",'V5'!B$300:B$400,0)),"  ")</f>
        <v xml:space="preserve">  </v>
      </c>
      <c r="AE40" s="599">
        <f>IFERROR(INDEX('V6'!C$300:C$400,MATCH("*"&amp;L40&amp;"*",'V6'!B$300:B$400,0)),"  ")</f>
        <v>16</v>
      </c>
      <c r="AF40" s="599" t="str">
        <f>IFERROR(INDEX('V7'!C$300:C$400,MATCH("*"&amp;L40&amp;"*",'V7'!B$300:B$400,0)),"  ")</f>
        <v xml:space="preserve">  </v>
      </c>
      <c r="AG40" s="599" t="str">
        <f>IFERROR(INDEX('V8'!C$300:C$400,MATCH("*"&amp;L40&amp;"*",'V8'!B$300:B$400,0)),"  ")</f>
        <v xml:space="preserve">  </v>
      </c>
      <c r="AH40" s="599">
        <f>IFERROR(INDEX('V9'!C$300:C$400,MATCH("*"&amp;L40&amp;"*",'V9'!B$300:B$400,0)),"  ")</f>
        <v>19</v>
      </c>
      <c r="AI40" s="599" t="str">
        <f>IFERROR(INDEX('V10'!C$300:C$400,MATCH("*"&amp;L40&amp;"*",'V10'!B$300:B$400,0)),"  ")</f>
        <v xml:space="preserve">  </v>
      </c>
      <c r="AJ40" s="600">
        <f t="shared" si="7"/>
        <v>1</v>
      </c>
      <c r="AK40" s="600">
        <f t="shared" si="8"/>
        <v>23</v>
      </c>
      <c r="AL40" s="601" t="str">
        <f>IFERROR("edasi "&amp;RANK(AK40,AK$7:AK$62,0),K40)</f>
        <v>edasi 34</v>
      </c>
      <c r="AM40" s="602">
        <f>IFERROR(INDEX('V-fin'!A$300:A$400,MATCH("*"&amp;L40&amp;"*",'V-fin'!B$300:B$400,0)),"  ")</f>
        <v>8</v>
      </c>
      <c r="AN40" s="603">
        <f t="shared" si="9"/>
        <v>3</v>
      </c>
      <c r="AO40" s="604">
        <f>IFERROR(IF(Z40+1&gt;LARGE(Z$7:Z$62,1)-2,1),0)+IFERROR(IF(AA40+1&gt;LARGE(AA$7:AA$62,1)-2,1),0)+IFERROR(IF(AB40+1&gt;LARGE(AB$7:AB$62,1)-2,1),0)+IFERROR(IF(AC40+1&gt;LARGE(AC$7:AC$62,1)-2,1),0)+IFERROR(IF(AD40+1&gt;LARGE(AD$7:AD$62,1)-2,1),0)+IFERROR(IF(AE40+1&gt;LARGE(AE$7:AE$62,1)-2,1),0)+IFERROR(IF(AF40+1&gt;LARGE(AF$7:AF$62,1)-2,1),0)+IFERROR(IF(AG40+1&gt;LARGE(AG$7:AG$62,1)-2,1),0)+IFERROR(IF(AH40+1&gt;LARGE(AH$7:AH$62,1)-2,1),0)+IFERROR(IF(AI40+1&gt;LARGE(AI$7:AI$62,1)-2,1),0)</f>
        <v>1</v>
      </c>
      <c r="AP40" s="604">
        <f>IF(Z40=0,0,IF(Z40=IFERROR(LARGE(Z$7:Z$62,1),0),1,0))+IF(AA40=0,0,IF(AA40=IFERROR(LARGE(AA$7:AA$62,1),0),1,0))+IF(AB40=0,0,IF(AB40=IFERROR(LARGE(AB$7:AB$62,1),0),1,0))+IF(AC40=0,0,IF(AC40=IFERROR(LARGE(AC$7:AC$62,1),0),1,0))+IF(AD40=0,0,IF(AD40=IFERROR(LARGE(AD$7:AD$62,1),0),1,0))+IF(AE40=0,0,IF(AE40=IFERROR(LARGE(AE$7:AE$62,1),0),1,0))+IF(AF40=0,0,IF(AF40=IFERROR(LARGE(AF$7:AF$62,1),0),1,0))+IF(AG40=0,0,IF(AG40=IFERROR(LARGE(AG$7:AG$62,1),0),1,0))+IF(AH40=0,0,IF(AH40=IFERROR(LARGE(AH$7:AH$62,1),0),1,0))+IF(AI40=0,0,IF(AI40=IFERROR(LARGE(AI$7:AI$62,1),0),1,0))</f>
        <v>0</v>
      </c>
      <c r="AQ40" s="620"/>
      <c r="AR40" s="605"/>
      <c r="AS40" s="606"/>
      <c r="AT40" s="606"/>
      <c r="AU40" s="606"/>
      <c r="AV40" s="606"/>
      <c r="AW40" s="605">
        <f t="shared" si="10"/>
        <v>1E-4</v>
      </c>
      <c r="AX40" s="606">
        <f t="shared" si="15"/>
        <v>1E-4</v>
      </c>
      <c r="AY40" s="606">
        <f t="shared" si="15"/>
        <v>11.0002</v>
      </c>
      <c r="AZ40" s="606">
        <f t="shared" si="15"/>
        <v>2.9999999999999997E-4</v>
      </c>
      <c r="BA40" s="606">
        <f t="shared" si="15"/>
        <v>4.0000000000000002E-4</v>
      </c>
      <c r="BB40" s="606">
        <f t="shared" si="15"/>
        <v>5.0000000000000001E-4</v>
      </c>
      <c r="BC40" s="606">
        <f t="shared" si="14"/>
        <v>16.000599999999999</v>
      </c>
      <c r="BD40" s="606">
        <f t="shared" si="14"/>
        <v>6.9999999999999999E-4</v>
      </c>
      <c r="BE40" s="606">
        <f t="shared" si="14"/>
        <v>8.0000000000000004E-4</v>
      </c>
      <c r="BF40" s="606">
        <f t="shared" si="14"/>
        <v>19.000900000000001</v>
      </c>
      <c r="BG40" s="606">
        <f t="shared" si="14"/>
        <v>1E-3</v>
      </c>
    </row>
    <row r="41" spans="1:59" x14ac:dyDescent="0.2">
      <c r="A41" s="583" t="str">
        <f>IF(R41&gt;0,IF(Q41="v",RANK(B41,B$7:B$62,1)-COUNTBLANK(Q$7:Q$62),""),"")</f>
        <v/>
      </c>
      <c r="B41" s="584">
        <f t="shared" si="0"/>
        <v>-965</v>
      </c>
      <c r="C41" s="585" t="str">
        <f>IF(R41&gt;0,IF(P41="k",RANK(D41,D$7:D$62,1)-COUNTBLANK(P$7:P$62),""),"")</f>
        <v/>
      </c>
      <c r="D41" s="584">
        <f t="shared" si="1"/>
        <v>-965</v>
      </c>
      <c r="E41" s="586">
        <f>IF(R41&gt;0,IF(N41="m",RANK(F41,F$7:F$62,1)-COUNTBLANK(N$7:N$62),""),"")</f>
        <v>31</v>
      </c>
      <c r="F41" s="584">
        <f t="shared" si="2"/>
        <v>35</v>
      </c>
      <c r="G41" s="587" t="str">
        <f>IF(R41&gt;0,IF(M41="n",RANK(H41,H$7:H$62,1)-COUNTBLANK(M$7:M$62),""),"")</f>
        <v/>
      </c>
      <c r="H41" s="584">
        <f t="shared" si="3"/>
        <v>-965</v>
      </c>
      <c r="I41" s="588" t="str">
        <f>IF(R41&gt;0,IF(O41="j",RANK(J41,J$7:J$62,1)-COUNTBLANK(O$7:O$62),""),"")</f>
        <v/>
      </c>
      <c r="J41" s="589">
        <f t="shared" si="4"/>
        <v>-965</v>
      </c>
      <c r="K41" s="548">
        <f>IF(R41&gt;0,RANK(U41,U$7:U$62,1),"")</f>
        <v>35</v>
      </c>
      <c r="L41" s="607" t="s">
        <v>263</v>
      </c>
      <c r="M41" s="591"/>
      <c r="N41" s="592" t="s">
        <v>321</v>
      </c>
      <c r="O41" s="593"/>
      <c r="P41" s="594"/>
      <c r="Q41" s="595"/>
      <c r="R41" s="596">
        <f>(IF(COUNT(Z41,AA41,AB41,AC41,AD41,AE41,AF41,AG41,AH41,AI41)&lt;9,SUM(Z41,AA41,AB41,AC41,AD41,AE41,AF41,AG41,AH41,AI41),SUM(LARGE((Z41,AA41,AB41,AC41,AD41,AE41,AF41,AG41,AH41,AI41),{1;2;3;4;5;6;7;8;9}))))</f>
        <v>39</v>
      </c>
      <c r="S41" s="597" t="str">
        <f>INDEX(ETAPP!B$1:B$32,MATCH(COUNTIF(Z41:AI41,PVO!A$1),ETAPP!A$1:A$32,0))&amp;INDEX(ETAPP!B$1:B$32,MATCH(COUNTIF(Z41:AI41,PVO!A$2),ETAPP!A$1:A$32,0))&amp;INDEX(ETAPP!B$1:B$32,MATCH(COUNTIF(Z41:AI41,PVO!A$3),ETAPP!A$1:A$32,0))&amp;INDEX(ETAPP!B$1:B$32,MATCH(COUNTIF(Z41:AI41,PVO!A$4),ETAPP!A$1:A$32,0))&amp;INDEX(ETAPP!B$1:B$32,MATCH(COUNTIF(Z41:AI41,PVO!A$5),ETAPP!A$1:A$32,0))&amp;INDEX(ETAPP!B$1:B$32,MATCH(COUNTIF(Z41:AI41,PVO!A$6),ETAPP!A$1:A$32,0))&amp;INDEX(ETAPP!B$1:B$32,MATCH(COUNTIF(Z41:AI41,PVO!A$7),ETAPP!A$1:A$32,0))&amp;INDEX(ETAPP!B$1:B$32,MATCH(COUNTIF(Z41:AI41,PVO!A$8),ETAPP!A$1:A$32,0))&amp;INDEX(ETAPP!B$1:B$32,MATCH(COUNTIF(Z41:AI41,PVO!A$9),ETAPP!A$1:A$32,0))&amp;INDEX(ETAPP!B$1:B$32,MATCH(COUNTIF(Z41:AI41,PVO!A$10),ETAPP!A$1:A$32,0))&amp;INDEX(ETAPP!B$1:B$32,MATCH(COUNTIF(Z41:AI41,PVO!A$11),ETAPP!A$1:A$32,0))&amp;INDEX(ETAPP!B$1:B$32,MATCH(COUNTIF(Z41:AI41,PVO!A$12),ETAPP!A$1:A$32,0))&amp;INDEX(ETAPP!B$1:B$32,MATCH(COUNTIF(Z41:AI41,PVO!A$13),ETAPP!A$1:A$32,0))&amp;INDEX(ETAPP!B$1:B$32,MATCH(COUNTIF(Z41:AI41,PVO!A$14),ETAPP!A$1:A$32,0))&amp;INDEX(ETAPP!B$1:B$32,MATCH(COUNTIF(Z41:AI41,PVO!A$15),ETAPP!A$1:A$32,0))&amp;INDEX(ETAPP!B$1:B$32,MATCH(COUNTIF(Z41:AI41,PVO!A$16),ETAPP!A$1:A$32,0))&amp;INDEX(ETAPP!B$1:B$32,MATCH(COUNTIF(Z41:AI41,PVO!A$17),ETAPP!A$1:A$32,0))&amp;INDEX(ETAPP!B$1:B$32,MATCH(COUNTIF(Z41:AI41,PVO!A$18),ETAPP!A$1:A$32,0))&amp;INDEX(ETAPP!B$1:B$32,MATCH(COUNTIF(Z41:AI41,PVO!A$19),ETAPP!A$1:A$32,0))</f>
        <v>AA00000000000000000</v>
      </c>
      <c r="T41" s="597" t="str">
        <f t="shared" si="5"/>
        <v>039,0-AA00000000000000000</v>
      </c>
      <c r="U41" s="597">
        <f>COUNTIF(T$7:T$62,"&gt;="&amp;T41)</f>
        <v>35</v>
      </c>
      <c r="V41" s="597">
        <f>COUNTIF(L$7:L$62,"&gt;="&amp;L41)</f>
        <v>10</v>
      </c>
      <c r="W41" s="597" t="str">
        <f t="shared" si="6"/>
        <v>039,0-AA00000000000000000-010</v>
      </c>
      <c r="X41" s="597">
        <f>COUNTIF(W$7:W$62,"&gt;="&amp;W41)</f>
        <v>35</v>
      </c>
      <c r="Y41" s="598">
        <f>RANK(X41,X$7:X$62,0)</f>
        <v>22</v>
      </c>
      <c r="Z41" s="599" t="str">
        <f>IFERROR(INDEX('V1'!C$300:C$400,MATCH("*"&amp;L41&amp;"*",'V1'!B$300:B$400,0)),"  ")</f>
        <v xml:space="preserve">  </v>
      </c>
      <c r="AA41" s="599">
        <f>IFERROR(INDEX('V2'!C$300:C$400,MATCH("*"&amp;L41&amp;"*",'V2'!B$300:B$400,0)),"  ")</f>
        <v>20</v>
      </c>
      <c r="AB41" s="599">
        <f>IFERROR(INDEX('V3'!C$300:C$400,MATCH("*"&amp;L41&amp;"*",'V3'!B$300:B$400,0)),"  ")</f>
        <v>19</v>
      </c>
      <c r="AC41" s="599" t="str">
        <f>IFERROR(INDEX('V4'!C$300:C$400,MATCH("*"&amp;L41&amp;"*",'V4'!B$300:B$400,0)),"  ")</f>
        <v xml:space="preserve">  </v>
      </c>
      <c r="AD41" s="599" t="str">
        <f>IFERROR(INDEX('V5'!C$300:C$400,MATCH("*"&amp;L41&amp;"*",'V5'!B$300:B$400,0)),"  ")</f>
        <v xml:space="preserve">  </v>
      </c>
      <c r="AE41" s="599" t="str">
        <f>IFERROR(INDEX('V6'!C$300:C$400,MATCH("*"&amp;L41&amp;"*",'V6'!B$300:B$400,0)),"  ")</f>
        <v xml:space="preserve">  </v>
      </c>
      <c r="AF41" s="599" t="str">
        <f>IFERROR(INDEX('V7'!C$300:C$400,MATCH("*"&amp;L41&amp;"*",'V7'!B$300:B$400,0)),"  ")</f>
        <v xml:space="preserve">  </v>
      </c>
      <c r="AG41" s="599" t="str">
        <f>IFERROR(INDEX('V8'!C$300:C$400,MATCH("*"&amp;L41&amp;"*",'V8'!B$300:B$400,0)),"  ")</f>
        <v xml:space="preserve">  </v>
      </c>
      <c r="AH41" s="599" t="str">
        <f>IFERROR(INDEX('V9'!C$300:C$400,MATCH("*"&amp;L41&amp;"*",'V9'!B$300:B$400,0)),"  ")</f>
        <v xml:space="preserve">  </v>
      </c>
      <c r="AI41" s="599" t="str">
        <f>IFERROR(INDEX('V10'!C$300:C$400,MATCH("*"&amp;L41&amp;"*",'V10'!B$300:B$400,0)),"  ")</f>
        <v xml:space="preserve">  </v>
      </c>
      <c r="AJ41" s="600">
        <f t="shared" si="7"/>
        <v>0</v>
      </c>
      <c r="AK41" s="600" t="str">
        <f t="shared" si="8"/>
        <v/>
      </c>
      <c r="AL41" s="601">
        <f>IFERROR("edasi "&amp;RANK(AK41,AK$7:AK$62,0),K41)</f>
        <v>35</v>
      </c>
      <c r="AM41" s="602" t="str">
        <f>IFERROR(INDEX('V-fin'!A$300:A$400,MATCH("*"&amp;L41&amp;"*",'V-fin'!B$300:B$400,0)),"  ")</f>
        <v xml:space="preserve">  </v>
      </c>
      <c r="AN41" s="603">
        <f t="shared" si="9"/>
        <v>2</v>
      </c>
      <c r="AO41" s="604">
        <f>IFERROR(IF(Z41+1&gt;LARGE(Z$7:Z$62,1)-2,1),0)+IFERROR(IF(AA41+1&gt;LARGE(AA$7:AA$62,1)-2,1),0)+IFERROR(IF(AB41+1&gt;LARGE(AB$7:AB$62,1)-2,1),0)+IFERROR(IF(AC41+1&gt;LARGE(AC$7:AC$62,1)-2,1),0)+IFERROR(IF(AD41+1&gt;LARGE(AD$7:AD$62,1)-2,1),0)+IFERROR(IF(AE41+1&gt;LARGE(AE$7:AE$62,1)-2,1),0)+IFERROR(IF(AF41+1&gt;LARGE(AF$7:AF$62,1)-2,1),0)+IFERROR(IF(AG41+1&gt;LARGE(AG$7:AG$62,1)-2,1),0)+IFERROR(IF(AH41+1&gt;LARGE(AH$7:AH$62,1)-2,1),0)+IFERROR(IF(AI41+1&gt;LARGE(AI$7:AI$62,1)-2,1),0)</f>
        <v>2</v>
      </c>
      <c r="AP41" s="604">
        <f>IF(Z41=0,0,IF(Z41=IFERROR(LARGE(Z$7:Z$62,1),0),1,0))+IF(AA41=0,0,IF(AA41=IFERROR(LARGE(AA$7:AA$62,1),0),1,0))+IF(AB41=0,0,IF(AB41=IFERROR(LARGE(AB$7:AB$62,1),0),1,0))+IF(AC41=0,0,IF(AC41=IFERROR(LARGE(AC$7:AC$62,1),0),1,0))+IF(AD41=0,0,IF(AD41=IFERROR(LARGE(AD$7:AD$62,1),0),1,0))+IF(AE41=0,0,IF(AE41=IFERROR(LARGE(AE$7:AE$62,1),0),1,0))+IF(AF41=0,0,IF(AF41=IFERROR(LARGE(AF$7:AF$62,1),0),1,0))+IF(AG41=0,0,IF(AG41=IFERROR(LARGE(AG$7:AG$62,1),0),1,0))+IF(AH41=0,0,IF(AH41=IFERROR(LARGE(AH$7:AH$62,1),0),1,0))+IF(AI41=0,0,IF(AI41=IFERROR(LARGE(AI$7:AI$62,1),0),1,0))</f>
        <v>1</v>
      </c>
      <c r="AQ41" s="512"/>
      <c r="AR41" s="605"/>
      <c r="AS41" s="606"/>
      <c r="AT41" s="606"/>
      <c r="AU41" s="606"/>
      <c r="AV41" s="606"/>
      <c r="AW41" s="605">
        <f t="shared" si="10"/>
        <v>1E-4</v>
      </c>
      <c r="AX41" s="606">
        <f t="shared" si="15"/>
        <v>1E-4</v>
      </c>
      <c r="AY41" s="606">
        <f t="shared" si="15"/>
        <v>20.0002</v>
      </c>
      <c r="AZ41" s="606">
        <f t="shared" si="15"/>
        <v>19.000299999999999</v>
      </c>
      <c r="BA41" s="606">
        <f t="shared" si="15"/>
        <v>4.0000000000000002E-4</v>
      </c>
      <c r="BB41" s="606">
        <f t="shared" si="15"/>
        <v>5.0000000000000001E-4</v>
      </c>
      <c r="BC41" s="606">
        <f t="shared" si="14"/>
        <v>5.9999999999999995E-4</v>
      </c>
      <c r="BD41" s="606">
        <f t="shared" si="14"/>
        <v>6.9999999999999999E-4</v>
      </c>
      <c r="BE41" s="606">
        <f t="shared" si="14"/>
        <v>8.0000000000000004E-4</v>
      </c>
      <c r="BF41" s="606">
        <f t="shared" si="14"/>
        <v>8.9999999999999998E-4</v>
      </c>
      <c r="BG41" s="606">
        <f t="shared" si="14"/>
        <v>1E-3</v>
      </c>
    </row>
    <row r="42" spans="1:59" x14ac:dyDescent="0.2">
      <c r="A42" s="583">
        <f>IF(R42&gt;0,IF(Q42="v",RANK(B42,B$7:B$62,1)-COUNTBLANK(Q$7:Q$62),""),"")</f>
        <v>23</v>
      </c>
      <c r="B42" s="584">
        <f t="shared" si="0"/>
        <v>36</v>
      </c>
      <c r="C42" s="585">
        <f>IF(R42&gt;0,IF(P42="k",RANK(D42,D$7:D$62,1)-COUNTBLANK(P$7:P$62),""),"")</f>
        <v>11</v>
      </c>
      <c r="D42" s="584">
        <f t="shared" si="1"/>
        <v>36</v>
      </c>
      <c r="E42" s="586">
        <f>IF(R42&gt;0,IF(N42="m",RANK(F42,F$7:F$62,1)-COUNTBLANK(N$7:N$62),""),"")</f>
        <v>32</v>
      </c>
      <c r="F42" s="584">
        <f t="shared" si="2"/>
        <v>36</v>
      </c>
      <c r="G42" s="587" t="str">
        <f>IF(R42&gt;0,IF(M42="n",RANK(H42,H$7:H$62,1)-COUNTBLANK(M$7:M$62),""),"")</f>
        <v/>
      </c>
      <c r="H42" s="584">
        <f t="shared" si="3"/>
        <v>-964</v>
      </c>
      <c r="I42" s="588" t="str">
        <f>IF(R42&gt;0,IF(O42="j",RANK(J42,J$7:J$62,1)-COUNTBLANK(O$7:O$62),""),"")</f>
        <v/>
      </c>
      <c r="J42" s="589">
        <f t="shared" si="4"/>
        <v>-964</v>
      </c>
      <c r="K42" s="548">
        <f>IF(R42&gt;0,RANK(U42,U$7:U$62,1),"")</f>
        <v>36</v>
      </c>
      <c r="L42" s="608" t="s">
        <v>322</v>
      </c>
      <c r="M42" s="591"/>
      <c r="N42" s="592" t="s">
        <v>321</v>
      </c>
      <c r="O42" s="593"/>
      <c r="P42" s="594" t="s">
        <v>320</v>
      </c>
      <c r="Q42" s="595" t="s">
        <v>319</v>
      </c>
      <c r="R42" s="596">
        <f>(IF(COUNT(Z42,AA42,AB42,AC42,AD42,AE42,AF42,AG42,AH42,AI42)&lt;9,SUM(Z42,AA42,AB42,AC42,AD42,AE42,AF42,AG42,AH42,AI42),SUM(LARGE((Z42,AA42,AB42,AC42,AD42,AE42,AF42,AG42,AH42,AI42),{1;2;3;4;5;6;7;8;9}))))</f>
        <v>33</v>
      </c>
      <c r="S42" s="597" t="str">
        <f>INDEX(ETAPP!B$1:B$32,MATCH(COUNTIF(Z42:AI42,PVO!A$1),ETAPP!A$1:A$32,0))&amp;INDEX(ETAPP!B$1:B$32,MATCH(COUNTIF(Z42:AI42,PVO!A$2),ETAPP!A$1:A$32,0))&amp;INDEX(ETAPP!B$1:B$32,MATCH(COUNTIF(Z42:AI42,PVO!A$3),ETAPP!A$1:A$32,0))&amp;INDEX(ETAPP!B$1:B$32,MATCH(COUNTIF(Z42:AI42,PVO!A$4),ETAPP!A$1:A$32,0))&amp;INDEX(ETAPP!B$1:B$32,MATCH(COUNTIF(Z42:AI42,PVO!A$5),ETAPP!A$1:A$32,0))&amp;INDEX(ETAPP!B$1:B$32,MATCH(COUNTIF(Z42:AI42,PVO!A$6),ETAPP!A$1:A$32,0))&amp;INDEX(ETAPP!B$1:B$32,MATCH(COUNTIF(Z42:AI42,PVO!A$7),ETAPP!A$1:A$32,0))&amp;INDEX(ETAPP!B$1:B$32,MATCH(COUNTIF(Z42:AI42,PVO!A$8),ETAPP!A$1:A$32,0))&amp;INDEX(ETAPP!B$1:B$32,MATCH(COUNTIF(Z42:AI42,PVO!A$9),ETAPP!A$1:A$32,0))&amp;INDEX(ETAPP!B$1:B$32,MATCH(COUNTIF(Z42:AI42,PVO!A$10),ETAPP!A$1:A$32,0))&amp;INDEX(ETAPP!B$1:B$32,MATCH(COUNTIF(Z42:AI42,PVO!A$11),ETAPP!A$1:A$32,0))&amp;INDEX(ETAPP!B$1:B$32,MATCH(COUNTIF(Z42:AI42,PVO!A$12),ETAPP!A$1:A$32,0))&amp;INDEX(ETAPP!B$1:B$32,MATCH(COUNTIF(Z42:AI42,PVO!A$13),ETAPP!A$1:A$32,0))&amp;INDEX(ETAPP!B$1:B$32,MATCH(COUNTIF(Z42:AI42,PVO!A$14),ETAPP!A$1:A$32,0))&amp;INDEX(ETAPP!B$1:B$32,MATCH(COUNTIF(Z42:AI42,PVO!A$15),ETAPP!A$1:A$32,0))&amp;INDEX(ETAPP!B$1:B$32,MATCH(COUNTIF(Z42:AI42,PVO!A$16),ETAPP!A$1:A$32,0))&amp;INDEX(ETAPP!B$1:B$32,MATCH(COUNTIF(Z42:AI42,PVO!A$17),ETAPP!A$1:A$32,0))&amp;INDEX(ETAPP!B$1:B$32,MATCH(COUNTIF(Z42:AI42,PVO!A$18),ETAPP!A$1:A$32,0))&amp;INDEX(ETAPP!B$1:B$32,MATCH(COUNTIF(Z42:AI42,PVO!A$19),ETAPP!A$1:A$32,0))</f>
        <v>0A0000A000000000000</v>
      </c>
      <c r="T42" s="597" t="str">
        <f t="shared" si="5"/>
        <v>033,0-0A0000A000000000000</v>
      </c>
      <c r="U42" s="597">
        <f>COUNTIF(T$7:T$62,"&gt;="&amp;T42)</f>
        <v>36</v>
      </c>
      <c r="V42" s="597">
        <f>COUNTIF(L$7:L$62,"&gt;="&amp;L42)</f>
        <v>45</v>
      </c>
      <c r="W42" s="597" t="str">
        <f t="shared" si="6"/>
        <v>033,0-0A0000A000000000000-045</v>
      </c>
      <c r="X42" s="597">
        <f>COUNTIF(W$7:W$62,"&gt;="&amp;W42)</f>
        <v>36</v>
      </c>
      <c r="Y42" s="598">
        <f>RANK(X42,X$7:X$62,0)</f>
        <v>21</v>
      </c>
      <c r="Z42" s="599" t="str">
        <f>IFERROR(INDEX('V1'!C$300:C$400,MATCH("*"&amp;L42&amp;"*",'V1'!B$300:B$400,0)),"  ")</f>
        <v xml:space="preserve">  </v>
      </c>
      <c r="AA42" s="599" t="str">
        <f>IFERROR(INDEX('V2'!C$300:C$400,MATCH("*"&amp;L42&amp;"*",'V2'!B$300:B$400,0)),"  ")</f>
        <v xml:space="preserve">  </v>
      </c>
      <c r="AB42" s="599" t="str">
        <f>IFERROR(INDEX('V3'!C$300:C$400,MATCH("*"&amp;L42&amp;"*",'V3'!B$300:B$400,0)),"  ")</f>
        <v xml:space="preserve">  </v>
      </c>
      <c r="AC42" s="599">
        <f>IFERROR(INDEX('V4'!C$300:C$400,MATCH("*"&amp;L42&amp;"*",'V4'!B$300:B$400,0)),"  ")</f>
        <v>19</v>
      </c>
      <c r="AD42" s="599" t="str">
        <f>IFERROR(INDEX('V5'!C$300:C$400,MATCH("*"&amp;L42&amp;"*",'V5'!B$300:B$400,0)),"  ")</f>
        <v xml:space="preserve">  </v>
      </c>
      <c r="AE42" s="599" t="str">
        <f>IFERROR(INDEX('V6'!C$300:C$400,MATCH("*"&amp;L42&amp;"*",'V6'!B$300:B$400,0)),"  ")</f>
        <v xml:space="preserve">  </v>
      </c>
      <c r="AF42" s="599">
        <f>IFERROR(INDEX('V7'!C$300:C$400,MATCH("*"&amp;L42&amp;"*",'V7'!B$300:B$400,0)),"  ")</f>
        <v>14</v>
      </c>
      <c r="AG42" s="599" t="str">
        <f>IFERROR(INDEX('V8'!C$300:C$400,MATCH("*"&amp;L42&amp;"*",'V8'!B$300:B$400,0)),"  ")</f>
        <v xml:space="preserve">  </v>
      </c>
      <c r="AH42" s="599" t="str">
        <f>IFERROR(INDEX('V9'!C$300:C$400,MATCH("*"&amp;L42&amp;"*",'V9'!B$300:B$400,0)),"  ")</f>
        <v xml:space="preserve">  </v>
      </c>
      <c r="AI42" s="599" t="str">
        <f>IFERROR(INDEX('V10'!C$300:C$400,MATCH("*"&amp;L42&amp;"*",'V10'!B$300:B$400,0)),"  ")</f>
        <v xml:space="preserve">  </v>
      </c>
      <c r="AJ42" s="600">
        <f t="shared" si="7"/>
        <v>0</v>
      </c>
      <c r="AK42" s="600" t="str">
        <f t="shared" si="8"/>
        <v/>
      </c>
      <c r="AL42" s="601">
        <f>IFERROR("edasi "&amp;RANK(AK42,AK$7:AK$62,0),K42)</f>
        <v>36</v>
      </c>
      <c r="AM42" s="602" t="str">
        <f>IFERROR(INDEX('V-fin'!A$300:A$400,MATCH("*"&amp;L42&amp;"*",'V-fin'!B$300:B$400,0)),"  ")</f>
        <v xml:space="preserve">  </v>
      </c>
      <c r="AN42" s="603">
        <f t="shared" si="9"/>
        <v>2</v>
      </c>
      <c r="AO42" s="604">
        <f>IFERROR(IF(Z42+1&gt;LARGE(Z$7:Z$62,1)-2,1),0)+IFERROR(IF(AA42+1&gt;LARGE(AA$7:AA$62,1)-2,1),0)+IFERROR(IF(AB42+1&gt;LARGE(AB$7:AB$62,1)-2,1),0)+IFERROR(IF(AC42+1&gt;LARGE(AC$7:AC$62,1)-2,1),0)+IFERROR(IF(AD42+1&gt;LARGE(AD$7:AD$62,1)-2,1),0)+IFERROR(IF(AE42+1&gt;LARGE(AE$7:AE$62,1)-2,1),0)+IFERROR(IF(AF42+1&gt;LARGE(AF$7:AF$62,1)-2,1),0)+IFERROR(IF(AG42+1&gt;LARGE(AG$7:AG$62,1)-2,1),0)+IFERROR(IF(AH42+1&gt;LARGE(AH$7:AH$62,1)-2,1),0)+IFERROR(IF(AI42+1&gt;LARGE(AI$7:AI$62,1)-2,1),0)</f>
        <v>1</v>
      </c>
      <c r="AP42" s="604">
        <f>IF(Z42=0,0,IF(Z42=IFERROR(LARGE(Z$7:Z$62,1),0),1,0))+IF(AA42=0,0,IF(AA42=IFERROR(LARGE(AA$7:AA$62,1),0),1,0))+IF(AB42=0,0,IF(AB42=IFERROR(LARGE(AB$7:AB$62,1),0),1,0))+IF(AC42=0,0,IF(AC42=IFERROR(LARGE(AC$7:AC$62,1),0),1,0))+IF(AD42=0,0,IF(AD42=IFERROR(LARGE(AD$7:AD$62,1),0),1,0))+IF(AE42=0,0,IF(AE42=IFERROR(LARGE(AE$7:AE$62,1),0),1,0))+IF(AF42=0,0,IF(AF42=IFERROR(LARGE(AF$7:AF$62,1),0),1,0))+IF(AG42=0,0,IF(AG42=IFERROR(LARGE(AG$7:AG$62,1),0),1,0))+IF(AH42=0,0,IF(AH42=IFERROR(LARGE(AH$7:AH$62,1),0),1,0))+IF(AI42=0,0,IF(AI42=IFERROR(LARGE(AI$7:AI$62,1),0),1,0))</f>
        <v>0</v>
      </c>
      <c r="AQ42" s="512"/>
      <c r="AR42" s="605"/>
      <c r="AS42" s="606"/>
      <c r="AT42" s="606"/>
      <c r="AU42" s="606"/>
      <c r="AV42" s="606"/>
      <c r="AW42" s="605">
        <f t="shared" si="10"/>
        <v>1E-4</v>
      </c>
      <c r="AX42" s="606">
        <f t="shared" si="15"/>
        <v>1E-4</v>
      </c>
      <c r="AY42" s="606">
        <f t="shared" si="15"/>
        <v>2.0000000000000001E-4</v>
      </c>
      <c r="AZ42" s="606">
        <f t="shared" si="15"/>
        <v>2.9999999999999997E-4</v>
      </c>
      <c r="BA42" s="606">
        <f t="shared" si="15"/>
        <v>19.000399999999999</v>
      </c>
      <c r="BB42" s="606">
        <f t="shared" si="15"/>
        <v>5.0000000000000001E-4</v>
      </c>
      <c r="BC42" s="606">
        <f t="shared" si="14"/>
        <v>5.9999999999999995E-4</v>
      </c>
      <c r="BD42" s="606">
        <f t="shared" si="14"/>
        <v>14.0007</v>
      </c>
      <c r="BE42" s="606">
        <f t="shared" si="14"/>
        <v>8.0000000000000004E-4</v>
      </c>
      <c r="BF42" s="606">
        <f t="shared" si="14"/>
        <v>8.9999999999999998E-4</v>
      </c>
      <c r="BG42" s="606">
        <f t="shared" si="14"/>
        <v>1E-3</v>
      </c>
    </row>
    <row r="43" spans="1:59" x14ac:dyDescent="0.2">
      <c r="A43" s="583">
        <f>IF(R43&gt;0,IF(Q43="v",RANK(B43,B$7:B$62,1)-COUNTBLANK(Q$7:Q$62),""),"")</f>
        <v>24</v>
      </c>
      <c r="B43" s="584">
        <f t="shared" si="0"/>
        <v>37</v>
      </c>
      <c r="C43" s="585">
        <f>IF(R43&gt;0,IF(P43="k",RANK(D43,D$7:D$62,1)-COUNTBLANK(P$7:P$62),""),"")</f>
        <v>12</v>
      </c>
      <c r="D43" s="584">
        <f t="shared" si="1"/>
        <v>37</v>
      </c>
      <c r="E43" s="586">
        <f>IF(R43&gt;0,IF(N43="m",RANK(F43,F$7:F$62,1)-COUNTBLANK(N$7:N$62),""),"")</f>
        <v>33</v>
      </c>
      <c r="F43" s="584">
        <f t="shared" si="2"/>
        <v>37</v>
      </c>
      <c r="G43" s="587" t="str">
        <f>IF(R43&gt;0,IF(M43="n",RANK(H43,H$7:H$62,1)-COUNTBLANK(M$7:M$62),""),"")</f>
        <v/>
      </c>
      <c r="H43" s="584">
        <f t="shared" si="3"/>
        <v>-963</v>
      </c>
      <c r="I43" s="588" t="str">
        <f>IF(R43&gt;0,IF(O43="j",RANK(J43,J$7:J$62,1)-COUNTBLANK(O$7:O$62),""),"")</f>
        <v/>
      </c>
      <c r="J43" s="589">
        <f t="shared" si="4"/>
        <v>-963</v>
      </c>
      <c r="K43" s="548">
        <f>IF(R43&gt;0,RANK(U43,U$7:U$62,1),"")</f>
        <v>37</v>
      </c>
      <c r="L43" s="607" t="s">
        <v>282</v>
      </c>
      <c r="M43" s="591"/>
      <c r="N43" s="592" t="str">
        <f>IF(M43="","m","")</f>
        <v>m</v>
      </c>
      <c r="O43" s="593"/>
      <c r="P43" s="594" t="s">
        <v>320</v>
      </c>
      <c r="Q43" s="595" t="s">
        <v>319</v>
      </c>
      <c r="R43" s="596">
        <f>(IF(COUNT(Z43,AA43,AB43,AC43,AD43,AE43,AF43,AG43,AH43,AI43)&lt;9,SUM(Z43,AA43,AB43,AC43,AD43,AE43,AF43,AG43,AH43,AI43),SUM(LARGE((Z43,AA43,AB43,AC43,AD43,AE43,AF43,AG43,AH43,AI43),{1;2;3;4;5;6;7;8;9}))))</f>
        <v>31</v>
      </c>
      <c r="S43" s="597" t="str">
        <f>INDEX(ETAPP!B$1:B$32,MATCH(COUNTIF(Z43:AI43,PVO!A$1),ETAPP!A$1:A$32,0))&amp;INDEX(ETAPP!B$1:B$32,MATCH(COUNTIF(Z43:AI43,PVO!A$2),ETAPP!A$1:A$32,0))&amp;INDEX(ETAPP!B$1:B$32,MATCH(COUNTIF(Z43:AI43,PVO!A$3),ETAPP!A$1:A$32,0))&amp;INDEX(ETAPP!B$1:B$32,MATCH(COUNTIF(Z43:AI43,PVO!A$4),ETAPP!A$1:A$32,0))&amp;INDEX(ETAPP!B$1:B$32,MATCH(COUNTIF(Z43:AI43,PVO!A$5),ETAPP!A$1:A$32,0))&amp;INDEX(ETAPP!B$1:B$32,MATCH(COUNTIF(Z43:AI43,PVO!A$6),ETAPP!A$1:A$32,0))&amp;INDEX(ETAPP!B$1:B$32,MATCH(COUNTIF(Z43:AI43,PVO!A$7),ETAPP!A$1:A$32,0))&amp;INDEX(ETAPP!B$1:B$32,MATCH(COUNTIF(Z43:AI43,PVO!A$8),ETAPP!A$1:A$32,0))&amp;INDEX(ETAPP!B$1:B$32,MATCH(COUNTIF(Z43:AI43,PVO!A$9),ETAPP!A$1:A$32,0))&amp;INDEX(ETAPP!B$1:B$32,MATCH(COUNTIF(Z43:AI43,PVO!A$10),ETAPP!A$1:A$32,0))&amp;INDEX(ETAPP!B$1:B$32,MATCH(COUNTIF(Z43:AI43,PVO!A$11),ETAPP!A$1:A$32,0))&amp;INDEX(ETAPP!B$1:B$32,MATCH(COUNTIF(Z43:AI43,PVO!A$12),ETAPP!A$1:A$32,0))&amp;INDEX(ETAPP!B$1:B$32,MATCH(COUNTIF(Z43:AI43,PVO!A$13),ETAPP!A$1:A$32,0))&amp;INDEX(ETAPP!B$1:B$32,MATCH(COUNTIF(Z43:AI43,PVO!A$14),ETAPP!A$1:A$32,0))&amp;INDEX(ETAPP!B$1:B$32,MATCH(COUNTIF(Z43:AI43,PVO!A$15),ETAPP!A$1:A$32,0))&amp;INDEX(ETAPP!B$1:B$32,MATCH(COUNTIF(Z43:AI43,PVO!A$16),ETAPP!A$1:A$32,0))&amp;INDEX(ETAPP!B$1:B$32,MATCH(COUNTIF(Z43:AI43,PVO!A$17),ETAPP!A$1:A$32,0))&amp;INDEX(ETAPP!B$1:B$32,MATCH(COUNTIF(Z43:AI43,PVO!A$18),ETAPP!A$1:A$32,0))&amp;INDEX(ETAPP!B$1:B$32,MATCH(COUNTIF(Z43:AI43,PVO!A$19),ETAPP!A$1:A$32,0))</f>
        <v>000A00A000000000000</v>
      </c>
      <c r="T43" s="597" t="str">
        <f t="shared" si="5"/>
        <v>031,0-000A00A000000000000</v>
      </c>
      <c r="U43" s="597">
        <f>COUNTIF(T$7:T$62,"&gt;="&amp;T43)</f>
        <v>37</v>
      </c>
      <c r="V43" s="597">
        <f>COUNTIF(L$7:L$62,"&gt;="&amp;L43)</f>
        <v>18</v>
      </c>
      <c r="W43" s="597" t="str">
        <f t="shared" si="6"/>
        <v>031,0-000A00A000000000000-018</v>
      </c>
      <c r="X43" s="597">
        <f>COUNTIF(W$7:W$62,"&gt;="&amp;W43)</f>
        <v>37</v>
      </c>
      <c r="Y43" s="598">
        <f>RANK(X43,X$7:X$62,0)</f>
        <v>20</v>
      </c>
      <c r="Z43" s="599" t="str">
        <f>IFERROR(INDEX('V1'!C$300:C$400,MATCH("*"&amp;L43&amp;"*",'V1'!B$300:B$400,0)),"  ")</f>
        <v xml:space="preserve">  </v>
      </c>
      <c r="AA43" s="599" t="str">
        <f>IFERROR(INDEX('V2'!C$300:C$400,MATCH("*"&amp;L43&amp;"*",'V2'!B$300:B$400,0)),"  ")</f>
        <v xml:space="preserve">  </v>
      </c>
      <c r="AB43" s="599">
        <f>IFERROR(INDEX('V3'!C$300:C$400,MATCH("*"&amp;L43&amp;"*",'V3'!B$300:B$400,0)),"  ")</f>
        <v>14</v>
      </c>
      <c r="AC43" s="599" t="str">
        <f>IFERROR(INDEX('V4'!C$300:C$400,MATCH("*"&amp;L43&amp;"*",'V4'!B$300:B$400,0)),"  ")</f>
        <v xml:space="preserve">  </v>
      </c>
      <c r="AD43" s="599" t="str">
        <f>IFERROR(INDEX('V5'!C$300:C$400,MATCH("*"&amp;L43&amp;"*",'V5'!B$300:B$400,0)),"  ")</f>
        <v xml:space="preserve">  </v>
      </c>
      <c r="AE43" s="599" t="str">
        <f>IFERROR(INDEX('V6'!C$300:C$400,MATCH("*"&amp;L43&amp;"*",'V6'!B$300:B$400,0)),"  ")</f>
        <v xml:space="preserve">  </v>
      </c>
      <c r="AF43" s="599" t="str">
        <f>IFERROR(INDEX('V7'!C$300:C$400,MATCH("*"&amp;L43&amp;"*",'V7'!B$300:B$400,0)),"  ")</f>
        <v xml:space="preserve">  </v>
      </c>
      <c r="AG43" s="599" t="str">
        <f>IFERROR(INDEX('V8'!C$300:C$400,MATCH("*"&amp;L43&amp;"*",'V8'!B$300:B$400,0)),"  ")</f>
        <v xml:space="preserve">  </v>
      </c>
      <c r="AH43" s="599" t="str">
        <f>IFERROR(INDEX('V9'!C$300:C$400,MATCH("*"&amp;L43&amp;"*",'V9'!B$300:B$400,0)),"  ")</f>
        <v xml:space="preserve">  </v>
      </c>
      <c r="AI43" s="599">
        <f>IFERROR(INDEX('V10'!C$300:C$400,MATCH("*"&amp;L43&amp;"*",'V10'!B$300:B$400,0)),"  ")</f>
        <v>17</v>
      </c>
      <c r="AJ43" s="600">
        <f t="shared" si="7"/>
        <v>0</v>
      </c>
      <c r="AK43" s="600" t="str">
        <f t="shared" si="8"/>
        <v/>
      </c>
      <c r="AL43" s="601">
        <f>IFERROR("edasi "&amp;RANK(AK43,AK$7:AK$62,0),K43)</f>
        <v>37</v>
      </c>
      <c r="AM43" s="602" t="str">
        <f>IFERROR(INDEX('V-fin'!A$300:A$400,MATCH("*"&amp;L43&amp;"*",'V-fin'!B$300:B$400,0)),"  ")</f>
        <v xml:space="preserve">  </v>
      </c>
      <c r="AN43" s="603">
        <f t="shared" si="9"/>
        <v>2</v>
      </c>
      <c r="AO43" s="604">
        <f>IFERROR(IF(Z43+1&gt;LARGE(Z$7:Z$62,1)-2,1),0)+IFERROR(IF(AA43+1&gt;LARGE(AA$7:AA$62,1)-2,1),0)+IFERROR(IF(AB43+1&gt;LARGE(AB$7:AB$62,1)-2,1),0)+IFERROR(IF(AC43+1&gt;LARGE(AC$7:AC$62,1)-2,1),0)+IFERROR(IF(AD43+1&gt;LARGE(AD$7:AD$62,1)-2,1),0)+IFERROR(IF(AE43+1&gt;LARGE(AE$7:AE$62,1)-2,1),0)+IFERROR(IF(AF43+1&gt;LARGE(AF$7:AF$62,1)-2,1),0)+IFERROR(IF(AG43+1&gt;LARGE(AG$7:AG$62,1)-2,1),0)+IFERROR(IF(AH43+1&gt;LARGE(AH$7:AH$62,1)-2,1),0)+IFERROR(IF(AI43+1&gt;LARGE(AI$7:AI$62,1)-2,1),0)</f>
        <v>0</v>
      </c>
      <c r="AP43" s="604">
        <f>IF(Z43=0,0,IF(Z43=IFERROR(LARGE(Z$7:Z$62,1),0),1,0))+IF(AA43=0,0,IF(AA43=IFERROR(LARGE(AA$7:AA$62,1),0),1,0))+IF(AB43=0,0,IF(AB43=IFERROR(LARGE(AB$7:AB$62,1),0),1,0))+IF(AC43=0,0,IF(AC43=IFERROR(LARGE(AC$7:AC$62,1),0),1,0))+IF(AD43=0,0,IF(AD43=IFERROR(LARGE(AD$7:AD$62,1),0),1,0))+IF(AE43=0,0,IF(AE43=IFERROR(LARGE(AE$7:AE$62,1),0),1,0))+IF(AF43=0,0,IF(AF43=IFERROR(LARGE(AF$7:AF$62,1),0),1,0))+IF(AG43=0,0,IF(AG43=IFERROR(LARGE(AG$7:AG$62,1),0),1,0))+IF(AH43=0,0,IF(AH43=IFERROR(LARGE(AH$7:AH$62,1),0),1,0))+IF(AI43=0,0,IF(AI43=IFERROR(LARGE(AI$7:AI$62,1),0),1,0))</f>
        <v>0</v>
      </c>
      <c r="AQ43" s="512"/>
      <c r="AR43" s="605"/>
      <c r="AS43" s="606"/>
      <c r="AT43" s="606"/>
      <c r="AU43" s="606"/>
      <c r="AV43" s="606"/>
      <c r="AW43" s="605">
        <f t="shared" si="10"/>
        <v>1E-4</v>
      </c>
      <c r="AX43" s="606">
        <f t="shared" si="15"/>
        <v>1E-4</v>
      </c>
      <c r="AY43" s="606">
        <f t="shared" si="15"/>
        <v>2.0000000000000001E-4</v>
      </c>
      <c r="AZ43" s="606">
        <f t="shared" si="15"/>
        <v>14.000299999999999</v>
      </c>
      <c r="BA43" s="606">
        <f t="shared" si="15"/>
        <v>4.0000000000000002E-4</v>
      </c>
      <c r="BB43" s="606">
        <f t="shared" si="15"/>
        <v>5.0000000000000001E-4</v>
      </c>
      <c r="BC43" s="606">
        <f t="shared" si="14"/>
        <v>5.9999999999999995E-4</v>
      </c>
      <c r="BD43" s="606">
        <f t="shared" si="14"/>
        <v>6.9999999999999999E-4</v>
      </c>
      <c r="BE43" s="606">
        <f t="shared" si="14"/>
        <v>8.0000000000000004E-4</v>
      </c>
      <c r="BF43" s="606">
        <f t="shared" si="14"/>
        <v>8.9999999999999998E-4</v>
      </c>
      <c r="BG43" s="606">
        <f t="shared" si="14"/>
        <v>17.001000000000001</v>
      </c>
    </row>
    <row r="44" spans="1:59" x14ac:dyDescent="0.2">
      <c r="A44" s="583" t="str">
        <f>IF(R44&gt;0,IF(Q44="v",RANK(B44,B$7:B$62,1)-COUNTBLANK(Q$7:Q$62),""),"")</f>
        <v/>
      </c>
      <c r="B44" s="584">
        <f t="shared" si="0"/>
        <v>-962</v>
      </c>
      <c r="C44" s="585" t="str">
        <f>IF(R44&gt;0,IF(P44="k",RANK(D44,D$7:D$62,1)-COUNTBLANK(P$7:P$62),""),"")</f>
        <v/>
      </c>
      <c r="D44" s="584">
        <f t="shared" si="1"/>
        <v>-962</v>
      </c>
      <c r="E44" s="586">
        <f>IF(R44&gt;0,IF(N44="m",RANK(F44,F$7:F$62,1)-COUNTBLANK(N$7:N$62),""),"")</f>
        <v>34</v>
      </c>
      <c r="F44" s="584">
        <f t="shared" si="2"/>
        <v>38</v>
      </c>
      <c r="G44" s="587" t="str">
        <f>IF(R44&gt;0,IF(M44="n",RANK(H44,H$7:H$62,1)-COUNTBLANK(M$7:M$62),""),"")</f>
        <v/>
      </c>
      <c r="H44" s="584">
        <f t="shared" si="3"/>
        <v>-962</v>
      </c>
      <c r="I44" s="588" t="str">
        <f>IF(R44&gt;0,IF(O44="j",RANK(J44,J$7:J$62,1)-COUNTBLANK(O$7:O$62),""),"")</f>
        <v/>
      </c>
      <c r="J44" s="589">
        <f t="shared" si="4"/>
        <v>-962</v>
      </c>
      <c r="K44" s="548">
        <f>IF(R44&gt;0,RANK(U44,U$7:U$62,1),"")</f>
        <v>38</v>
      </c>
      <c r="L44" s="607" t="s">
        <v>247</v>
      </c>
      <c r="M44" s="591"/>
      <c r="N44" s="592" t="s">
        <v>321</v>
      </c>
      <c r="O44" s="593"/>
      <c r="P44" s="594"/>
      <c r="Q44" s="595"/>
      <c r="R44" s="596">
        <f>(IF(COUNT(Z44,AA44,AB44,AC44,AD44,AE44,AF44,AG44,AH44,AI44)&lt;9,SUM(Z44,AA44,AB44,AC44,AD44,AE44,AF44,AG44,AH44,AI44),SUM(LARGE((Z44,AA44,AB44,AC44,AD44,AE44,AF44,AG44,AH44,AI44),{1;2;3;4;5;6;7;8;9}))))</f>
        <v>28</v>
      </c>
      <c r="S44" s="597" t="str">
        <f>INDEX(ETAPP!B$1:B$32,MATCH(COUNTIF(Z44:AI44,PVO!A$1),ETAPP!A$1:A$32,0))&amp;INDEX(ETAPP!B$1:B$32,MATCH(COUNTIF(Z44:AI44,PVO!A$2),ETAPP!A$1:A$32,0))&amp;INDEX(ETAPP!B$1:B$32,MATCH(COUNTIF(Z44:AI44,PVO!A$3),ETAPP!A$1:A$32,0))&amp;INDEX(ETAPP!B$1:B$32,MATCH(COUNTIF(Z44:AI44,PVO!A$4),ETAPP!A$1:A$32,0))&amp;INDEX(ETAPP!B$1:B$32,MATCH(COUNTIF(Z44:AI44,PVO!A$5),ETAPP!A$1:A$32,0))&amp;INDEX(ETAPP!B$1:B$32,MATCH(COUNTIF(Z44:AI44,PVO!A$6),ETAPP!A$1:A$32,0))&amp;INDEX(ETAPP!B$1:B$32,MATCH(COUNTIF(Z44:AI44,PVO!A$7),ETAPP!A$1:A$32,0))&amp;INDEX(ETAPP!B$1:B$32,MATCH(COUNTIF(Z44:AI44,PVO!A$8),ETAPP!A$1:A$32,0))&amp;INDEX(ETAPP!B$1:B$32,MATCH(COUNTIF(Z44:AI44,PVO!A$9),ETAPP!A$1:A$32,0))&amp;INDEX(ETAPP!B$1:B$32,MATCH(COUNTIF(Z44:AI44,PVO!A$10),ETAPP!A$1:A$32,0))&amp;INDEX(ETAPP!B$1:B$32,MATCH(COUNTIF(Z44:AI44,PVO!A$11),ETAPP!A$1:A$32,0))&amp;INDEX(ETAPP!B$1:B$32,MATCH(COUNTIF(Z44:AI44,PVO!A$12),ETAPP!A$1:A$32,0))&amp;INDEX(ETAPP!B$1:B$32,MATCH(COUNTIF(Z44:AI44,PVO!A$13),ETAPP!A$1:A$32,0))&amp;INDEX(ETAPP!B$1:B$32,MATCH(COUNTIF(Z44:AI44,PVO!A$14),ETAPP!A$1:A$32,0))&amp;INDEX(ETAPP!B$1:B$32,MATCH(COUNTIF(Z44:AI44,PVO!A$15),ETAPP!A$1:A$32,0))&amp;INDEX(ETAPP!B$1:B$32,MATCH(COUNTIF(Z44:AI44,PVO!A$16),ETAPP!A$1:A$32,0))&amp;INDEX(ETAPP!B$1:B$32,MATCH(COUNTIF(Z44:AI44,PVO!A$17),ETAPP!A$1:A$32,0))&amp;INDEX(ETAPP!B$1:B$32,MATCH(COUNTIF(Z44:AI44,PVO!A$18),ETAPP!A$1:A$32,0))&amp;INDEX(ETAPP!B$1:B$32,MATCH(COUNTIF(Z44:AI44,PVO!A$19),ETAPP!A$1:A$32,0))</f>
        <v>000A00000A000000000</v>
      </c>
      <c r="T44" s="597" t="str">
        <f t="shared" si="5"/>
        <v>028,0-000A00000A000000000</v>
      </c>
      <c r="U44" s="597">
        <f>COUNTIF(T$7:T$62,"&gt;="&amp;T44)</f>
        <v>38</v>
      </c>
      <c r="V44" s="597">
        <f>COUNTIF(L$7:L$62,"&gt;="&amp;L44)</f>
        <v>11</v>
      </c>
      <c r="W44" s="597" t="str">
        <f t="shared" si="6"/>
        <v>028,0-000A00000A000000000-011</v>
      </c>
      <c r="X44" s="597">
        <f>COUNTIF(W$7:W$62,"&gt;="&amp;W44)</f>
        <v>38</v>
      </c>
      <c r="Y44" s="598">
        <f>RANK(X44,X$7:X$62,0)</f>
        <v>19</v>
      </c>
      <c r="Z44" s="599" t="str">
        <f>IFERROR(INDEX('V1'!C$300:C$400,MATCH("*"&amp;L44&amp;"*",'V1'!B$300:B$400,0)),"  ")</f>
        <v xml:space="preserve">  </v>
      </c>
      <c r="AA44" s="599" t="str">
        <f>IFERROR(INDEX('V2'!C$300:C$400,MATCH("*"&amp;L44&amp;"*",'V2'!B$300:B$400,0)),"  ")</f>
        <v xml:space="preserve">  </v>
      </c>
      <c r="AB44" s="599" t="str">
        <f>IFERROR(INDEX('V3'!C$300:C$400,MATCH("*"&amp;L44&amp;"*",'V3'!B$300:B$400,0)),"  ")</f>
        <v xml:space="preserve">  </v>
      </c>
      <c r="AC44" s="599" t="str">
        <f>IFERROR(INDEX('V4'!C$300:C$400,MATCH("*"&amp;L44&amp;"*",'V4'!B$300:B$400,0)),"  ")</f>
        <v xml:space="preserve">  </v>
      </c>
      <c r="AD44" s="599" t="str">
        <f>IFERROR(INDEX('V5'!C$300:C$400,MATCH("*"&amp;L44&amp;"*",'V5'!B$300:B$400,0)),"  ")</f>
        <v xml:space="preserve">  </v>
      </c>
      <c r="AE44" s="599" t="str">
        <f>IFERROR(INDEX('V6'!C$300:C$400,MATCH("*"&amp;L44&amp;"*",'V6'!B$300:B$400,0)),"  ")</f>
        <v xml:space="preserve">  </v>
      </c>
      <c r="AF44" s="599">
        <f>IFERROR(INDEX('V7'!C$300:C$400,MATCH("*"&amp;L44&amp;"*",'V7'!B$300:B$400,0)),"  ")</f>
        <v>17</v>
      </c>
      <c r="AG44" s="599">
        <f>IFERROR(INDEX('V8'!C$300:C$400,MATCH("*"&amp;L44&amp;"*",'V8'!B$300:B$400,0)),"  ")</f>
        <v>11</v>
      </c>
      <c r="AH44" s="599" t="str">
        <f>IFERROR(INDEX('V9'!C$300:C$400,MATCH("*"&amp;L44&amp;"*",'V9'!B$300:B$400,0)),"  ")</f>
        <v xml:space="preserve">  </v>
      </c>
      <c r="AI44" s="599" t="str">
        <f>IFERROR(INDEX('V10'!C$300:C$400,MATCH("*"&amp;L44&amp;"*",'V10'!B$300:B$400,0)),"  ")</f>
        <v xml:space="preserve">  </v>
      </c>
      <c r="AJ44" s="600">
        <f t="shared" si="7"/>
        <v>0</v>
      </c>
      <c r="AK44" s="600" t="str">
        <f t="shared" si="8"/>
        <v/>
      </c>
      <c r="AL44" s="601">
        <f>IFERROR("edasi "&amp;RANK(AK44,AK$7:AK$62,0),K44)</f>
        <v>38</v>
      </c>
      <c r="AM44" s="602" t="str">
        <f>IFERROR(INDEX('V-fin'!A$300:A$400,MATCH("*"&amp;L44&amp;"*",'V-fin'!B$300:B$400,0)),"  ")</f>
        <v xml:space="preserve">  </v>
      </c>
      <c r="AN44" s="603">
        <f t="shared" si="9"/>
        <v>2</v>
      </c>
      <c r="AO44" s="604">
        <f>IFERROR(IF(Z44+1&gt;LARGE(Z$7:Z$62,1)-2,1),0)+IFERROR(IF(AA44+1&gt;LARGE(AA$7:AA$62,1)-2,1),0)+IFERROR(IF(AB44+1&gt;LARGE(AB$7:AB$62,1)-2,1),0)+IFERROR(IF(AC44+1&gt;LARGE(AC$7:AC$62,1)-2,1),0)+IFERROR(IF(AD44+1&gt;LARGE(AD$7:AD$62,1)-2,1),0)+IFERROR(IF(AE44+1&gt;LARGE(AE$7:AE$62,1)-2,1),0)+IFERROR(IF(AF44+1&gt;LARGE(AF$7:AF$62,1)-2,1),0)+IFERROR(IF(AG44+1&gt;LARGE(AG$7:AG$62,1)-2,1),0)+IFERROR(IF(AH44+1&gt;LARGE(AH$7:AH$62,1)-2,1),0)+IFERROR(IF(AI44+1&gt;LARGE(AI$7:AI$62,1)-2,1),0)</f>
        <v>0</v>
      </c>
      <c r="AP44" s="604">
        <f>IF(Z44=0,0,IF(Z44=IFERROR(LARGE(Z$7:Z$62,1),0),1,0))+IF(AA44=0,0,IF(AA44=IFERROR(LARGE(AA$7:AA$62,1),0),1,0))+IF(AB44=0,0,IF(AB44=IFERROR(LARGE(AB$7:AB$62,1),0),1,0))+IF(AC44=0,0,IF(AC44=IFERROR(LARGE(AC$7:AC$62,1),0),1,0))+IF(AD44=0,0,IF(AD44=IFERROR(LARGE(AD$7:AD$62,1),0),1,0))+IF(AE44=0,0,IF(AE44=IFERROR(LARGE(AE$7:AE$62,1),0),1,0))+IF(AF44=0,0,IF(AF44=IFERROR(LARGE(AF$7:AF$62,1),0),1,0))+IF(AG44=0,0,IF(AG44=IFERROR(LARGE(AG$7:AG$62,1),0),1,0))+IF(AH44=0,0,IF(AH44=IFERROR(LARGE(AH$7:AH$62,1),0),1,0))+IF(AI44=0,0,IF(AI44=IFERROR(LARGE(AI$7:AI$62,1),0),1,0))</f>
        <v>0</v>
      </c>
      <c r="AQ44" s="512"/>
      <c r="AR44" s="605"/>
      <c r="AS44" s="606"/>
      <c r="AT44" s="606"/>
      <c r="AU44" s="606"/>
      <c r="AV44" s="606"/>
      <c r="AW44" s="605">
        <f t="shared" si="10"/>
        <v>1E-4</v>
      </c>
      <c r="AX44" s="606">
        <f t="shared" si="15"/>
        <v>1E-4</v>
      </c>
      <c r="AY44" s="606">
        <f t="shared" si="15"/>
        <v>2.0000000000000001E-4</v>
      </c>
      <c r="AZ44" s="606">
        <f t="shared" si="15"/>
        <v>2.9999999999999997E-4</v>
      </c>
      <c r="BA44" s="606">
        <f t="shared" si="15"/>
        <v>4.0000000000000002E-4</v>
      </c>
      <c r="BB44" s="606">
        <f t="shared" si="15"/>
        <v>5.0000000000000001E-4</v>
      </c>
      <c r="BC44" s="606">
        <f t="shared" si="14"/>
        <v>5.9999999999999995E-4</v>
      </c>
      <c r="BD44" s="606">
        <f t="shared" si="14"/>
        <v>17.000699999999998</v>
      </c>
      <c r="BE44" s="606">
        <f t="shared" si="14"/>
        <v>11.0008</v>
      </c>
      <c r="BF44" s="606">
        <f t="shared" si="14"/>
        <v>8.9999999999999998E-4</v>
      </c>
      <c r="BG44" s="606">
        <f t="shared" si="14"/>
        <v>1E-3</v>
      </c>
    </row>
    <row r="45" spans="1:59" x14ac:dyDescent="0.2">
      <c r="A45" s="583" t="str">
        <f>IF(R45&gt;0,IF(Q45="v",RANK(B45,B$7:B$62,1)-COUNTBLANK(Q$7:Q$62),""),"")</f>
        <v/>
      </c>
      <c r="B45" s="584">
        <f t="shared" si="0"/>
        <v>-961</v>
      </c>
      <c r="C45" s="585" t="str">
        <f>IF(R45&gt;0,IF(P45="k",RANK(D45,D$7:D$62,1)-COUNTBLANK(P$7:P$62),""),"")</f>
        <v/>
      </c>
      <c r="D45" s="584">
        <f t="shared" si="1"/>
        <v>-961</v>
      </c>
      <c r="E45" s="586" t="str">
        <f>IF(R45&gt;0,IF(N45="m",RANK(F45,F$7:F$62,1)-COUNTBLANK(N$7:N$62),""),"")</f>
        <v/>
      </c>
      <c r="F45" s="584">
        <f t="shared" si="2"/>
        <v>-961</v>
      </c>
      <c r="G45" s="587">
        <f>IF(R45&gt;0,IF(M45="n",RANK(H45,H$7:H$62,1)-COUNTBLANK(M$7:M$62),""),"")</f>
        <v>5</v>
      </c>
      <c r="H45" s="584">
        <f t="shared" si="3"/>
        <v>39</v>
      </c>
      <c r="I45" s="588" t="str">
        <f>IF(R45&gt;0,IF(O45="j",RANK(J45,J$7:J$62,1)-COUNTBLANK(O$7:O$62),""),"")</f>
        <v/>
      </c>
      <c r="J45" s="589">
        <f t="shared" si="4"/>
        <v>-961</v>
      </c>
      <c r="K45" s="548">
        <f>IF(R45&gt;0,RANK(U45,U$7:U$62,1),"")</f>
        <v>39</v>
      </c>
      <c r="L45" s="590" t="s">
        <v>279</v>
      </c>
      <c r="M45" s="591" t="s">
        <v>234</v>
      </c>
      <c r="N45" s="592" t="str">
        <f>IF(M45="","m","")</f>
        <v/>
      </c>
      <c r="O45" s="593"/>
      <c r="P45" s="594"/>
      <c r="Q45" s="595"/>
      <c r="R45" s="596">
        <f>(IF(COUNT(Z45,AA45,AB45,AC45,AD45,AE45,AF45,AG45,AH45,AI45)&lt;9,SUM(Z45,AA45,AB45,AC45,AD45,AE45,AF45,AG45,AH45,AI45),SUM(LARGE((Z45,AA45,AB45,AC45,AD45,AE45,AF45,AG45,AH45,AI45),{1;2;3;4;5;6;7;8;9}))))</f>
        <v>26</v>
      </c>
      <c r="S45" s="597" t="str">
        <f>INDEX(ETAPP!B$1:B$32,MATCH(COUNTIF(Z45:AI45,PVO!A$1),ETAPP!A$1:A$32,0))&amp;INDEX(ETAPP!B$1:B$32,MATCH(COUNTIF(Z45:AI45,PVO!A$2),ETAPP!A$1:A$32,0))&amp;INDEX(ETAPP!B$1:B$32,MATCH(COUNTIF(Z45:AI45,PVO!A$3),ETAPP!A$1:A$32,0))&amp;INDEX(ETAPP!B$1:B$32,MATCH(COUNTIF(Z45:AI45,PVO!A$4),ETAPP!A$1:A$32,0))&amp;INDEX(ETAPP!B$1:B$32,MATCH(COUNTIF(Z45:AI45,PVO!A$5),ETAPP!A$1:A$32,0))&amp;INDEX(ETAPP!B$1:B$32,MATCH(COUNTIF(Z45:AI45,PVO!A$6),ETAPP!A$1:A$32,0))&amp;INDEX(ETAPP!B$1:B$32,MATCH(COUNTIF(Z45:AI45,PVO!A$7),ETAPP!A$1:A$32,0))&amp;INDEX(ETAPP!B$1:B$32,MATCH(COUNTIF(Z45:AI45,PVO!A$8),ETAPP!A$1:A$32,0))&amp;INDEX(ETAPP!B$1:B$32,MATCH(COUNTIF(Z45:AI45,PVO!A$9),ETAPP!A$1:A$32,0))&amp;INDEX(ETAPP!B$1:B$32,MATCH(COUNTIF(Z45:AI45,PVO!A$10),ETAPP!A$1:A$32,0))&amp;INDEX(ETAPP!B$1:B$32,MATCH(COUNTIF(Z45:AI45,PVO!A$11),ETAPP!A$1:A$32,0))&amp;INDEX(ETAPP!B$1:B$32,MATCH(COUNTIF(Z45:AI45,PVO!A$12),ETAPP!A$1:A$32,0))&amp;INDEX(ETAPP!B$1:B$32,MATCH(COUNTIF(Z45:AI45,PVO!A$13),ETAPP!A$1:A$32,0))&amp;INDEX(ETAPP!B$1:B$32,MATCH(COUNTIF(Z45:AI45,PVO!A$14),ETAPP!A$1:A$32,0))&amp;INDEX(ETAPP!B$1:B$32,MATCH(COUNTIF(Z45:AI45,PVO!A$15),ETAPP!A$1:A$32,0))&amp;INDEX(ETAPP!B$1:B$32,MATCH(COUNTIF(Z45:AI45,PVO!A$16),ETAPP!A$1:A$32,0))&amp;INDEX(ETAPP!B$1:B$32,MATCH(COUNTIF(Z45:AI45,PVO!A$17),ETAPP!A$1:A$32,0))&amp;INDEX(ETAPP!B$1:B$32,MATCH(COUNTIF(Z45:AI45,PVO!A$18),ETAPP!A$1:A$32,0))&amp;INDEX(ETAPP!B$1:B$32,MATCH(COUNTIF(Z45:AI45,PVO!A$19),ETAPP!A$1:A$32,0))</f>
        <v>0000A00000A00000000</v>
      </c>
      <c r="T45" s="597" t="str">
        <f t="shared" si="5"/>
        <v>026,0-0000A00000A00000000</v>
      </c>
      <c r="U45" s="597">
        <f>COUNTIF(T$7:T$62,"&gt;="&amp;T45)</f>
        <v>39</v>
      </c>
      <c r="V45" s="597">
        <f>COUNTIF(L$7:L$62,"&gt;="&amp;L45)</f>
        <v>44</v>
      </c>
      <c r="W45" s="597" t="str">
        <f t="shared" si="6"/>
        <v>026,0-0000A00000A00000000-044</v>
      </c>
      <c r="X45" s="597">
        <f>COUNTIF(W$7:W$62,"&gt;="&amp;W45)</f>
        <v>39</v>
      </c>
      <c r="Y45" s="598">
        <f>RANK(X45,X$7:X$62,0)</f>
        <v>18</v>
      </c>
      <c r="Z45" s="599" t="str">
        <f>IFERROR(INDEX('V1'!C$300:C$400,MATCH("*"&amp;L45&amp;"*",'V1'!B$300:B$400,0)),"  ")</f>
        <v xml:space="preserve">  </v>
      </c>
      <c r="AA45" s="599" t="str">
        <f>IFERROR(INDEX('V2'!C$300:C$400,MATCH("*"&amp;L45&amp;"*",'V2'!B$300:B$400,0)),"  ")</f>
        <v xml:space="preserve">  </v>
      </c>
      <c r="AB45" s="599" t="str">
        <f>IFERROR(INDEX('V3'!C$300:C$400,MATCH("*"&amp;L45&amp;"*",'V3'!B$300:B$400,0)),"  ")</f>
        <v xml:space="preserve">  </v>
      </c>
      <c r="AC45" s="599" t="str">
        <f>IFERROR(INDEX('V4'!C$300:C$400,MATCH("*"&amp;L45&amp;"*",'V4'!B$300:B$400,0)),"  ")</f>
        <v xml:space="preserve">  </v>
      </c>
      <c r="AD45" s="599">
        <f>IFERROR(INDEX('V5'!C$300:C$400,MATCH("*"&amp;L45&amp;"*",'V5'!B$300:B$400,0)),"  ")</f>
        <v>16</v>
      </c>
      <c r="AE45" s="599">
        <f>IFERROR(INDEX('V6'!C$300:C$400,MATCH("*"&amp;L45&amp;"*",'V6'!B$300:B$400,0)),"  ")</f>
        <v>10</v>
      </c>
      <c r="AF45" s="599" t="str">
        <f>IFERROR(INDEX('V7'!C$300:C$400,MATCH("*"&amp;L45&amp;"*",'V7'!B$300:B$400,0)),"  ")</f>
        <v xml:space="preserve">  </v>
      </c>
      <c r="AG45" s="599" t="str">
        <f>IFERROR(INDEX('V8'!C$300:C$400,MATCH("*"&amp;L45&amp;"*",'V8'!B$300:B$400,0)),"  ")</f>
        <v xml:space="preserve">  </v>
      </c>
      <c r="AH45" s="599" t="str">
        <f>IFERROR(INDEX('V9'!C$300:C$400,MATCH("*"&amp;L45&amp;"*",'V9'!B$300:B$400,0)),"  ")</f>
        <v xml:space="preserve">  </v>
      </c>
      <c r="AI45" s="599" t="str">
        <f>IFERROR(INDEX('V10'!C$300:C$400,MATCH("*"&amp;L45&amp;"*",'V10'!B$300:B$400,0)),"  ")</f>
        <v xml:space="preserve">  </v>
      </c>
      <c r="AJ45" s="600">
        <f t="shared" si="7"/>
        <v>0</v>
      </c>
      <c r="AK45" s="600" t="str">
        <f t="shared" si="8"/>
        <v/>
      </c>
      <c r="AL45" s="601">
        <f>IFERROR("edasi "&amp;RANK(AK45,AK$7:AK$62,0),K45)</f>
        <v>39</v>
      </c>
      <c r="AM45" s="602" t="str">
        <f>IFERROR(INDEX('V-fin'!A$300:A$400,MATCH("*"&amp;L45&amp;"*",'V-fin'!B$300:B$400,0)),"  ")</f>
        <v xml:space="preserve">  </v>
      </c>
      <c r="AN45" s="603">
        <f t="shared" si="9"/>
        <v>2</v>
      </c>
      <c r="AO45" s="604">
        <f>IFERROR(IF(Z45+1&gt;LARGE(Z$7:Z$62,1)-2,1),0)+IFERROR(IF(AA45+1&gt;LARGE(AA$7:AA$62,1)-2,1),0)+IFERROR(IF(AB45+1&gt;LARGE(AB$7:AB$62,1)-2,1),0)+IFERROR(IF(AC45+1&gt;LARGE(AC$7:AC$62,1)-2,1),0)+IFERROR(IF(AD45+1&gt;LARGE(AD$7:AD$62,1)-2,1),0)+IFERROR(IF(AE45+1&gt;LARGE(AE$7:AE$62,1)-2,1),0)+IFERROR(IF(AF45+1&gt;LARGE(AF$7:AF$62,1)-2,1),0)+IFERROR(IF(AG45+1&gt;LARGE(AG$7:AG$62,1)-2,1),0)+IFERROR(IF(AH45+1&gt;LARGE(AH$7:AH$62,1)-2,1),0)+IFERROR(IF(AI45+1&gt;LARGE(AI$7:AI$62,1)-2,1),0)</f>
        <v>0</v>
      </c>
      <c r="AP45" s="604">
        <f>IF(Z45=0,0,IF(Z45=IFERROR(LARGE(Z$7:Z$62,1),0),1,0))+IF(AA45=0,0,IF(AA45=IFERROR(LARGE(AA$7:AA$62,1),0),1,0))+IF(AB45=0,0,IF(AB45=IFERROR(LARGE(AB$7:AB$62,1),0),1,0))+IF(AC45=0,0,IF(AC45=IFERROR(LARGE(AC$7:AC$62,1),0),1,0))+IF(AD45=0,0,IF(AD45=IFERROR(LARGE(AD$7:AD$62,1),0),1,0))+IF(AE45=0,0,IF(AE45=IFERROR(LARGE(AE$7:AE$62,1),0),1,0))+IF(AF45=0,0,IF(AF45=IFERROR(LARGE(AF$7:AF$62,1),0),1,0))+IF(AG45=0,0,IF(AG45=IFERROR(LARGE(AG$7:AG$62,1),0),1,0))+IF(AH45=0,0,IF(AH45=IFERROR(LARGE(AH$7:AH$62,1),0),1,0))+IF(AI45=0,0,IF(AI45=IFERROR(LARGE(AI$7:AI$62,1),0),1,0))</f>
        <v>0</v>
      </c>
      <c r="AQ45" s="512"/>
      <c r="AR45" s="605"/>
      <c r="AS45" s="606"/>
      <c r="AT45" s="606"/>
      <c r="AU45" s="606"/>
      <c r="AV45" s="606"/>
      <c r="AW45" s="605">
        <f t="shared" si="10"/>
        <v>1E-4</v>
      </c>
      <c r="AX45" s="606">
        <f t="shared" si="15"/>
        <v>1E-4</v>
      </c>
      <c r="AY45" s="606">
        <f t="shared" si="15"/>
        <v>2.0000000000000001E-4</v>
      </c>
      <c r="AZ45" s="606">
        <f t="shared" si="15"/>
        <v>2.9999999999999997E-4</v>
      </c>
      <c r="BA45" s="606">
        <f t="shared" si="15"/>
        <v>4.0000000000000002E-4</v>
      </c>
      <c r="BB45" s="606">
        <f t="shared" si="15"/>
        <v>16.000499999999999</v>
      </c>
      <c r="BC45" s="606">
        <f t="shared" si="14"/>
        <v>10.0006</v>
      </c>
      <c r="BD45" s="606">
        <f t="shared" si="14"/>
        <v>6.9999999999999999E-4</v>
      </c>
      <c r="BE45" s="606">
        <f t="shared" si="14"/>
        <v>8.0000000000000004E-4</v>
      </c>
      <c r="BF45" s="606">
        <f t="shared" si="14"/>
        <v>8.9999999999999998E-4</v>
      </c>
      <c r="BG45" s="606">
        <f t="shared" si="14"/>
        <v>1E-3</v>
      </c>
    </row>
    <row r="46" spans="1:59" x14ac:dyDescent="0.2">
      <c r="A46" s="583">
        <f>IF(R46&gt;0,IF(Q46="v",RANK(B46,B$7:B$62,1)-COUNTBLANK(Q$7:Q$62),""),"")</f>
        <v>25</v>
      </c>
      <c r="B46" s="584">
        <f t="shared" si="0"/>
        <v>40</v>
      </c>
      <c r="C46" s="585" t="str">
        <f>IF(R46&gt;0,IF(P46="k",RANK(D46,D$7:D$62,1)-COUNTBLANK(P$7:P$62),""),"")</f>
        <v/>
      </c>
      <c r="D46" s="584">
        <f t="shared" si="1"/>
        <v>-960</v>
      </c>
      <c r="E46" s="586" t="str">
        <f>IF(R46&gt;0,IF(N46="m",RANK(F46,F$7:F$62,1)-COUNTBLANK(N$7:N$62),""),"")</f>
        <v/>
      </c>
      <c r="F46" s="584">
        <f t="shared" si="2"/>
        <v>-960</v>
      </c>
      <c r="G46" s="587">
        <f>IF(R46&gt;0,IF(M46="n",RANK(H46,H$7:H$62,1)-COUNTBLANK(M$7:M$62),""),"")</f>
        <v>6</v>
      </c>
      <c r="H46" s="584">
        <f t="shared" si="3"/>
        <v>40</v>
      </c>
      <c r="I46" s="588" t="str">
        <f>IF(R46&gt;0,IF(O46="j",RANK(J46,J$7:J$62,1)-COUNTBLANK(O$7:O$62),""),"")</f>
        <v/>
      </c>
      <c r="J46" s="589">
        <f t="shared" si="4"/>
        <v>-960</v>
      </c>
      <c r="K46" s="548">
        <f>IF(R46&gt;0,RANK(U46,U$7:U$62,1),"")</f>
        <v>40</v>
      </c>
      <c r="L46" s="607" t="s">
        <v>323</v>
      </c>
      <c r="M46" s="591" t="s">
        <v>234</v>
      </c>
      <c r="N46" s="592"/>
      <c r="O46" s="593"/>
      <c r="P46" s="594"/>
      <c r="Q46" s="595" t="s">
        <v>319</v>
      </c>
      <c r="R46" s="596">
        <f>(IF(COUNT(Z46,AA46,AB46,AC46,AD46,AE46,AF46,AG46,AH46,AI46)&lt;9,SUM(Z46,AA46,AB46,AC46,AD46,AE46,AF46,AG46,AH46,AI46),SUM(LARGE((Z46,AA46,AB46,AC46,AD46,AE46,AF46,AG46,AH46,AI46),{1;2;3;4;5;6;7;8;9}))))</f>
        <v>20</v>
      </c>
      <c r="S46" s="597" t="str">
        <f>INDEX(ETAPP!B$1:B$32,MATCH(COUNTIF(Z46:AI46,PVO!A$1),ETAPP!A$1:A$32,0))&amp;INDEX(ETAPP!B$1:B$32,MATCH(COUNTIF(Z46:AI46,PVO!A$2),ETAPP!A$1:A$32,0))&amp;INDEX(ETAPP!B$1:B$32,MATCH(COUNTIF(Z46:AI46,PVO!A$3),ETAPP!A$1:A$32,0))&amp;INDEX(ETAPP!B$1:B$32,MATCH(COUNTIF(Z46:AI46,PVO!A$4),ETAPP!A$1:A$32,0))&amp;INDEX(ETAPP!B$1:B$32,MATCH(COUNTIF(Z46:AI46,PVO!A$5),ETAPP!A$1:A$32,0))&amp;INDEX(ETAPP!B$1:B$32,MATCH(COUNTIF(Z46:AI46,PVO!A$6),ETAPP!A$1:A$32,0))&amp;INDEX(ETAPP!B$1:B$32,MATCH(COUNTIF(Z46:AI46,PVO!A$7),ETAPP!A$1:A$32,0))&amp;INDEX(ETAPP!B$1:B$32,MATCH(COUNTIF(Z46:AI46,PVO!A$8),ETAPP!A$1:A$32,0))&amp;INDEX(ETAPP!B$1:B$32,MATCH(COUNTIF(Z46:AI46,PVO!A$9),ETAPP!A$1:A$32,0))&amp;INDEX(ETAPP!B$1:B$32,MATCH(COUNTIF(Z46:AI46,PVO!A$10),ETAPP!A$1:A$32,0))&amp;INDEX(ETAPP!B$1:B$32,MATCH(COUNTIF(Z46:AI46,PVO!A$11),ETAPP!A$1:A$32,0))&amp;INDEX(ETAPP!B$1:B$32,MATCH(COUNTIF(Z46:AI46,PVO!A$12),ETAPP!A$1:A$32,0))&amp;INDEX(ETAPP!B$1:B$32,MATCH(COUNTIF(Z46:AI46,PVO!A$13),ETAPP!A$1:A$32,0))&amp;INDEX(ETAPP!B$1:B$32,MATCH(COUNTIF(Z46:AI46,PVO!A$14),ETAPP!A$1:A$32,0))&amp;INDEX(ETAPP!B$1:B$32,MATCH(COUNTIF(Z46:AI46,PVO!A$15),ETAPP!A$1:A$32,0))&amp;INDEX(ETAPP!B$1:B$32,MATCH(COUNTIF(Z46:AI46,PVO!A$16),ETAPP!A$1:A$32,0))&amp;INDEX(ETAPP!B$1:B$32,MATCH(COUNTIF(Z46:AI46,PVO!A$17),ETAPP!A$1:A$32,0))&amp;INDEX(ETAPP!B$1:B$32,MATCH(COUNTIF(Z46:AI46,PVO!A$18),ETAPP!A$1:A$32,0))&amp;INDEX(ETAPP!B$1:B$32,MATCH(COUNTIF(Z46:AI46,PVO!A$19),ETAPP!A$1:A$32,0))</f>
        <v>A000000000000000000</v>
      </c>
      <c r="T46" s="597" t="str">
        <f t="shared" si="5"/>
        <v>020,0-A000000000000000000</v>
      </c>
      <c r="U46" s="597">
        <f>COUNTIF(T$7:T$62,"&gt;="&amp;T46)</f>
        <v>40</v>
      </c>
      <c r="V46" s="597">
        <f>COUNTIF(L$7:L$62,"&gt;="&amp;L46)</f>
        <v>34</v>
      </c>
      <c r="W46" s="597" t="str">
        <f t="shared" si="6"/>
        <v>020,0-A000000000000000000-034</v>
      </c>
      <c r="X46" s="597">
        <f>COUNTIF(W$7:W$62,"&gt;="&amp;W46)</f>
        <v>40</v>
      </c>
      <c r="Y46" s="598">
        <f>RANK(X46,X$7:X$62,0)</f>
        <v>17</v>
      </c>
      <c r="Z46" s="599" t="str">
        <f>IFERROR(INDEX('V1'!C$300:C$400,MATCH("*"&amp;L46&amp;"*",'V1'!B$300:B$400,0)),"  ")</f>
        <v xml:space="preserve">  </v>
      </c>
      <c r="AA46" s="599">
        <f>IFERROR(INDEX('V2'!C$300:C$400,MATCH("*"&amp;L46&amp;"*",'V2'!B$300:B$400,0)),"  ")</f>
        <v>20</v>
      </c>
      <c r="AB46" s="599" t="str">
        <f>IFERROR(INDEX('V3'!C$300:C$400,MATCH("*"&amp;L46&amp;"*",'V3'!B$300:B$400,0)),"  ")</f>
        <v xml:space="preserve">  </v>
      </c>
      <c r="AC46" s="599" t="str">
        <f>IFERROR(INDEX('V4'!C$300:C$400,MATCH("*"&amp;L46&amp;"*",'V4'!B$300:B$400,0)),"  ")</f>
        <v xml:space="preserve">  </v>
      </c>
      <c r="AD46" s="599" t="str">
        <f>IFERROR(INDEX('V5'!C$300:C$400,MATCH("*"&amp;L46&amp;"*",'V5'!B$300:B$400,0)),"  ")</f>
        <v xml:space="preserve">  </v>
      </c>
      <c r="AE46" s="599" t="str">
        <f>IFERROR(INDEX('V6'!C$300:C$400,MATCH("*"&amp;L46&amp;"*",'V6'!B$300:B$400,0)),"  ")</f>
        <v xml:space="preserve">  </v>
      </c>
      <c r="AF46" s="599" t="str">
        <f>IFERROR(INDEX('V7'!C$300:C$400,MATCH("*"&amp;L46&amp;"*",'V7'!B$300:B$400,0)),"  ")</f>
        <v xml:space="preserve">  </v>
      </c>
      <c r="AG46" s="599" t="str">
        <f>IFERROR(INDEX('V8'!C$300:C$400,MATCH("*"&amp;L46&amp;"*",'V8'!B$300:B$400,0)),"  ")</f>
        <v xml:space="preserve">  </v>
      </c>
      <c r="AH46" s="599" t="str">
        <f>IFERROR(INDEX('V9'!C$300:C$400,MATCH("*"&amp;L46&amp;"*",'V9'!B$300:B$400,0)),"  ")</f>
        <v xml:space="preserve">  </v>
      </c>
      <c r="AI46" s="599" t="str">
        <f>IFERROR(INDEX('V10'!C$300:C$400,MATCH("*"&amp;L46&amp;"*",'V10'!B$300:B$400,0)),"  ")</f>
        <v xml:space="preserve">  </v>
      </c>
      <c r="AJ46" s="600">
        <f t="shared" si="7"/>
        <v>0</v>
      </c>
      <c r="AK46" s="600" t="str">
        <f t="shared" si="8"/>
        <v/>
      </c>
      <c r="AL46" s="601">
        <f>IFERROR("edasi "&amp;RANK(AK46,AK$7:AK$62,0),K46)</f>
        <v>40</v>
      </c>
      <c r="AM46" s="602" t="str">
        <f>IFERROR(INDEX('V-fin'!A$300:A$400,MATCH("*"&amp;L46&amp;"*",'V-fin'!B$300:B$400,0)),"  ")</f>
        <v xml:space="preserve">  </v>
      </c>
      <c r="AN46" s="603">
        <f t="shared" si="9"/>
        <v>1</v>
      </c>
      <c r="AO46" s="604">
        <f>IFERROR(IF(Z46+1&gt;LARGE(Z$7:Z$62,1)-2,1),0)+IFERROR(IF(AA46+1&gt;LARGE(AA$7:AA$62,1)-2,1),0)+IFERROR(IF(AB46+1&gt;LARGE(AB$7:AB$62,1)-2,1),0)+IFERROR(IF(AC46+1&gt;LARGE(AC$7:AC$62,1)-2,1),0)+IFERROR(IF(AD46+1&gt;LARGE(AD$7:AD$62,1)-2,1),0)+IFERROR(IF(AE46+1&gt;LARGE(AE$7:AE$62,1)-2,1),0)+IFERROR(IF(AF46+1&gt;LARGE(AF$7:AF$62,1)-2,1),0)+IFERROR(IF(AG46+1&gt;LARGE(AG$7:AG$62,1)-2,1),0)+IFERROR(IF(AH46+1&gt;LARGE(AH$7:AH$62,1)-2,1),0)+IFERROR(IF(AI46+1&gt;LARGE(AI$7:AI$62,1)-2,1),0)</f>
        <v>1</v>
      </c>
      <c r="AP46" s="604">
        <f>IF(Z46=0,0,IF(Z46=IFERROR(LARGE(Z$7:Z$62,1),0),1,0))+IF(AA46=0,0,IF(AA46=IFERROR(LARGE(AA$7:AA$62,1),0),1,0))+IF(AB46=0,0,IF(AB46=IFERROR(LARGE(AB$7:AB$62,1),0),1,0))+IF(AC46=0,0,IF(AC46=IFERROR(LARGE(AC$7:AC$62,1),0),1,0))+IF(AD46=0,0,IF(AD46=IFERROR(LARGE(AD$7:AD$62,1),0),1,0))+IF(AE46=0,0,IF(AE46=IFERROR(LARGE(AE$7:AE$62,1),0),1,0))+IF(AF46=0,0,IF(AF46=IFERROR(LARGE(AF$7:AF$62,1),0),1,0))+IF(AG46=0,0,IF(AG46=IFERROR(LARGE(AG$7:AG$62,1),0),1,0))+IF(AH46=0,0,IF(AH46=IFERROR(LARGE(AH$7:AH$62,1),0),1,0))+IF(AI46=0,0,IF(AI46=IFERROR(LARGE(AI$7:AI$62,1),0),1,0))</f>
        <v>1</v>
      </c>
      <c r="AQ46" s="512"/>
      <c r="AR46" s="605"/>
      <c r="AS46" s="606"/>
      <c r="AT46" s="606"/>
      <c r="AU46" s="606"/>
      <c r="AV46" s="606"/>
      <c r="AW46" s="605">
        <f t="shared" si="10"/>
        <v>1E-4</v>
      </c>
      <c r="AX46" s="606">
        <f t="shared" si="15"/>
        <v>1E-4</v>
      </c>
      <c r="AY46" s="606">
        <f t="shared" si="15"/>
        <v>20.0002</v>
      </c>
      <c r="AZ46" s="606">
        <f t="shared" si="15"/>
        <v>2.9999999999999997E-4</v>
      </c>
      <c r="BA46" s="606">
        <f t="shared" si="15"/>
        <v>4.0000000000000002E-4</v>
      </c>
      <c r="BB46" s="606">
        <f t="shared" si="15"/>
        <v>5.0000000000000001E-4</v>
      </c>
      <c r="BC46" s="606">
        <f t="shared" si="14"/>
        <v>5.9999999999999995E-4</v>
      </c>
      <c r="BD46" s="606">
        <f t="shared" si="14"/>
        <v>6.9999999999999999E-4</v>
      </c>
      <c r="BE46" s="606">
        <f t="shared" si="14"/>
        <v>8.0000000000000004E-4</v>
      </c>
      <c r="BF46" s="606">
        <f t="shared" si="14"/>
        <v>8.9999999999999998E-4</v>
      </c>
      <c r="BG46" s="606">
        <f t="shared" si="14"/>
        <v>1E-3</v>
      </c>
    </row>
    <row r="47" spans="1:59" x14ac:dyDescent="0.2">
      <c r="A47" s="583" t="str">
        <f>IF(R47&gt;0,IF(Q47="v",RANK(B47,B$7:B$62,1)-COUNTBLANK(Q$7:Q$62),""),"")</f>
        <v/>
      </c>
      <c r="B47" s="584">
        <f t="shared" si="0"/>
        <v>-959</v>
      </c>
      <c r="C47" s="585" t="str">
        <f>IF(R47&gt;0,IF(P47="k",RANK(D47,D$7:D$62,1)-COUNTBLANK(P$7:P$62),""),"")</f>
        <v/>
      </c>
      <c r="D47" s="584">
        <f t="shared" si="1"/>
        <v>-959</v>
      </c>
      <c r="E47" s="586" t="str">
        <f>IF(R47&gt;0,IF(N47="m",RANK(F47,F$7:F$62,1)-COUNTBLANK(N$7:N$62),""),"")</f>
        <v/>
      </c>
      <c r="F47" s="584">
        <f t="shared" si="2"/>
        <v>-959</v>
      </c>
      <c r="G47" s="587">
        <f>IF(R47&gt;0,IF(M47="n",RANK(H47,H$7:H$62,1)-COUNTBLANK(M$7:M$62),""),"")</f>
        <v>7</v>
      </c>
      <c r="H47" s="584">
        <f t="shared" si="3"/>
        <v>41</v>
      </c>
      <c r="I47" s="588" t="str">
        <f>IF(R47&gt;0,IF(O47="j",RANK(J47,J$7:J$62,1)-COUNTBLANK(O$7:O$62),""),"")</f>
        <v/>
      </c>
      <c r="J47" s="589">
        <f t="shared" si="4"/>
        <v>-959</v>
      </c>
      <c r="K47" s="548">
        <f>IF(R47&gt;0,RANK(U47,U$7:U$62,1),"")</f>
        <v>41</v>
      </c>
      <c r="L47" s="607" t="s">
        <v>261</v>
      </c>
      <c r="M47" s="591" t="s">
        <v>234</v>
      </c>
      <c r="N47" s="592" t="str">
        <f>IF(M47="","m","")</f>
        <v/>
      </c>
      <c r="O47" s="593"/>
      <c r="P47" s="594"/>
      <c r="Q47" s="595"/>
      <c r="R47" s="596">
        <f>(IF(COUNT(Z47,AA47,AB47,AC47,AD47,AE47,AF47,AG47,AH47,AI47)&lt;9,SUM(Z47,AA47,AB47,AC47,AD47,AE47,AF47,AG47,AH47,AI47),SUM(LARGE((Z47,AA47,AB47,AC47,AD47,AE47,AF47,AG47,AH47,AI47),{1;2;3;4;5;6;7;8;9}))))</f>
        <v>18</v>
      </c>
      <c r="S47" s="597" t="str">
        <f>INDEX(ETAPP!B$1:B$32,MATCH(COUNTIF(Z47:AI47,PVO!A$1),ETAPP!A$1:A$32,0))&amp;INDEX(ETAPP!B$1:B$32,MATCH(COUNTIF(Z47:AI47,PVO!A$2),ETAPP!A$1:A$32,0))&amp;INDEX(ETAPP!B$1:B$32,MATCH(COUNTIF(Z47:AI47,PVO!A$3),ETAPP!A$1:A$32,0))&amp;INDEX(ETAPP!B$1:B$32,MATCH(COUNTIF(Z47:AI47,PVO!A$4),ETAPP!A$1:A$32,0))&amp;INDEX(ETAPP!B$1:B$32,MATCH(COUNTIF(Z47:AI47,PVO!A$5),ETAPP!A$1:A$32,0))&amp;INDEX(ETAPP!B$1:B$32,MATCH(COUNTIF(Z47:AI47,PVO!A$6),ETAPP!A$1:A$32,0))&amp;INDEX(ETAPP!B$1:B$32,MATCH(COUNTIF(Z47:AI47,PVO!A$7),ETAPP!A$1:A$32,0))&amp;INDEX(ETAPP!B$1:B$32,MATCH(COUNTIF(Z47:AI47,PVO!A$8),ETAPP!A$1:A$32,0))&amp;INDEX(ETAPP!B$1:B$32,MATCH(COUNTIF(Z47:AI47,PVO!A$9),ETAPP!A$1:A$32,0))&amp;INDEX(ETAPP!B$1:B$32,MATCH(COUNTIF(Z47:AI47,PVO!A$10),ETAPP!A$1:A$32,0))&amp;INDEX(ETAPP!B$1:B$32,MATCH(COUNTIF(Z47:AI47,PVO!A$11),ETAPP!A$1:A$32,0))&amp;INDEX(ETAPP!B$1:B$32,MATCH(COUNTIF(Z47:AI47,PVO!A$12),ETAPP!A$1:A$32,0))&amp;INDEX(ETAPP!B$1:B$32,MATCH(COUNTIF(Z47:AI47,PVO!A$13),ETAPP!A$1:A$32,0))&amp;INDEX(ETAPP!B$1:B$32,MATCH(COUNTIF(Z47:AI47,PVO!A$14),ETAPP!A$1:A$32,0))&amp;INDEX(ETAPP!B$1:B$32,MATCH(COUNTIF(Z47:AI47,PVO!A$15),ETAPP!A$1:A$32,0))&amp;INDEX(ETAPP!B$1:B$32,MATCH(COUNTIF(Z47:AI47,PVO!A$16),ETAPP!A$1:A$32,0))&amp;INDEX(ETAPP!B$1:B$32,MATCH(COUNTIF(Z47:AI47,PVO!A$17),ETAPP!A$1:A$32,0))&amp;INDEX(ETAPP!B$1:B$32,MATCH(COUNTIF(Z47:AI47,PVO!A$18),ETAPP!A$1:A$32,0))&amp;INDEX(ETAPP!B$1:B$32,MATCH(COUNTIF(Z47:AI47,PVO!A$19),ETAPP!A$1:A$32,0))</f>
        <v>00A0000000000000000</v>
      </c>
      <c r="T47" s="597" t="str">
        <f t="shared" si="5"/>
        <v>018,0-00A0000000000000000</v>
      </c>
      <c r="U47" s="597">
        <f>COUNTIF(T$7:T$62,"&gt;="&amp;T47)</f>
        <v>41</v>
      </c>
      <c r="V47" s="597">
        <f>COUNTIF(L$7:L$62,"&gt;="&amp;L47)</f>
        <v>31</v>
      </c>
      <c r="W47" s="597" t="str">
        <f t="shared" si="6"/>
        <v>018,0-00A0000000000000000-031</v>
      </c>
      <c r="X47" s="597">
        <f>COUNTIF(W$7:W$62,"&gt;="&amp;W47)</f>
        <v>41</v>
      </c>
      <c r="Y47" s="598">
        <f>RANK(X47,X$7:X$62,0)</f>
        <v>16</v>
      </c>
      <c r="Z47" s="599">
        <f>IFERROR(INDEX('V1'!C$300:C$400,MATCH("*"&amp;L47&amp;"*",'V1'!B$300:B$400,0)),"  ")</f>
        <v>18</v>
      </c>
      <c r="AA47" s="599" t="str">
        <f>IFERROR(INDEX('V2'!C$300:C$400,MATCH("*"&amp;L47&amp;"*",'V2'!B$300:B$400,0)),"  ")</f>
        <v xml:space="preserve">  </v>
      </c>
      <c r="AB47" s="599" t="str">
        <f>IFERROR(INDEX('V3'!C$300:C$400,MATCH("*"&amp;L47&amp;"*",'V3'!B$300:B$400,0)),"  ")</f>
        <v xml:space="preserve">  </v>
      </c>
      <c r="AC47" s="599" t="str">
        <f>IFERROR(INDEX('V4'!C$300:C$400,MATCH("*"&amp;L47&amp;"*",'V4'!B$300:B$400,0)),"  ")</f>
        <v xml:space="preserve">  </v>
      </c>
      <c r="AD47" s="599" t="str">
        <f>IFERROR(INDEX('V5'!C$300:C$400,MATCH("*"&amp;L47&amp;"*",'V5'!B$300:B$400,0)),"  ")</f>
        <v xml:space="preserve">  </v>
      </c>
      <c r="AE47" s="599" t="str">
        <f>IFERROR(INDEX('V6'!C$300:C$400,MATCH("*"&amp;L47&amp;"*",'V6'!B$300:B$400,0)),"  ")</f>
        <v xml:space="preserve">  </v>
      </c>
      <c r="AF47" s="599" t="str">
        <f>IFERROR(INDEX('V7'!C$300:C$400,MATCH("*"&amp;L47&amp;"*",'V7'!B$300:B$400,0)),"  ")</f>
        <v xml:space="preserve">  </v>
      </c>
      <c r="AG47" s="599" t="str">
        <f>IFERROR(INDEX('V8'!C$300:C$400,MATCH("*"&amp;L47&amp;"*",'V8'!B$300:B$400,0)),"  ")</f>
        <v xml:space="preserve">  </v>
      </c>
      <c r="AH47" s="599" t="str">
        <f>IFERROR(INDEX('V9'!C$300:C$400,MATCH("*"&amp;L47&amp;"*",'V9'!B$300:B$400,0)),"  ")</f>
        <v xml:space="preserve">  </v>
      </c>
      <c r="AI47" s="599" t="str">
        <f>IFERROR(INDEX('V10'!C$300:C$400,MATCH("*"&amp;L47&amp;"*",'V10'!B$300:B$400,0)),"  ")</f>
        <v xml:space="preserve">  </v>
      </c>
      <c r="AJ47" s="600">
        <f t="shared" si="7"/>
        <v>0</v>
      </c>
      <c r="AK47" s="600" t="str">
        <f t="shared" si="8"/>
        <v/>
      </c>
      <c r="AL47" s="601">
        <f>IFERROR("edasi "&amp;RANK(AK47,AK$7:AK$62,0),K47)</f>
        <v>41</v>
      </c>
      <c r="AM47" s="602" t="str">
        <f>IFERROR(INDEX('V-fin'!A$300:A$400,MATCH("*"&amp;L47&amp;"*",'V-fin'!B$300:B$400,0)),"  ")</f>
        <v xml:space="preserve">  </v>
      </c>
      <c r="AN47" s="603">
        <f t="shared" si="9"/>
        <v>1</v>
      </c>
      <c r="AO47" s="604">
        <f>IFERROR(IF(Z47+1&gt;LARGE(Z$7:Z$62,1)-2,1),0)+IFERROR(IF(AA47+1&gt;LARGE(AA$7:AA$62,1)-2,1),0)+IFERROR(IF(AB47+1&gt;LARGE(AB$7:AB$62,1)-2,1),0)+IFERROR(IF(AC47+1&gt;LARGE(AC$7:AC$62,1)-2,1),0)+IFERROR(IF(AD47+1&gt;LARGE(AD$7:AD$62,1)-2,1),0)+IFERROR(IF(AE47+1&gt;LARGE(AE$7:AE$62,1)-2,1),0)+IFERROR(IF(AF47+1&gt;LARGE(AF$7:AF$62,1)-2,1),0)+IFERROR(IF(AG47+1&gt;LARGE(AG$7:AG$62,1)-2,1),0)+IFERROR(IF(AH47+1&gt;LARGE(AH$7:AH$62,1)-2,1),0)+IFERROR(IF(AI47+1&gt;LARGE(AI$7:AI$62,1)-2,1),0)</f>
        <v>1</v>
      </c>
      <c r="AP47" s="604">
        <f>IF(Z47=0,0,IF(Z47=IFERROR(LARGE(Z$7:Z$62,1),0),1,0))+IF(AA47=0,0,IF(AA47=IFERROR(LARGE(AA$7:AA$62,1),0),1,0))+IF(AB47=0,0,IF(AB47=IFERROR(LARGE(AB$7:AB$62,1),0),1,0))+IF(AC47=0,0,IF(AC47=IFERROR(LARGE(AC$7:AC$62,1),0),1,0))+IF(AD47=0,0,IF(AD47=IFERROR(LARGE(AD$7:AD$62,1),0),1,0))+IF(AE47=0,0,IF(AE47=IFERROR(LARGE(AE$7:AE$62,1),0),1,0))+IF(AF47=0,0,IF(AF47=IFERROR(LARGE(AF$7:AF$62,1),0),1,0))+IF(AG47=0,0,IF(AG47=IFERROR(LARGE(AG$7:AG$62,1),0),1,0))+IF(AH47=0,0,IF(AH47=IFERROR(LARGE(AH$7:AH$62,1),0),1,0))+IF(AI47=0,0,IF(AI47=IFERROR(LARGE(AI$7:AI$62,1),0),1,0))</f>
        <v>0</v>
      </c>
      <c r="AQ47" s="620"/>
      <c r="AR47" s="605"/>
      <c r="AS47" s="606"/>
      <c r="AT47" s="606"/>
      <c r="AU47" s="606"/>
      <c r="AV47" s="606"/>
      <c r="AW47" s="605">
        <f t="shared" si="10"/>
        <v>2.0000000000000001E-4</v>
      </c>
      <c r="AX47" s="606">
        <f t="shared" si="15"/>
        <v>18.0001</v>
      </c>
      <c r="AY47" s="606">
        <f t="shared" si="15"/>
        <v>2.0000000000000001E-4</v>
      </c>
      <c r="AZ47" s="606">
        <f t="shared" si="15"/>
        <v>2.9999999999999997E-4</v>
      </c>
      <c r="BA47" s="606">
        <f t="shared" si="15"/>
        <v>4.0000000000000002E-4</v>
      </c>
      <c r="BB47" s="606">
        <f t="shared" si="15"/>
        <v>5.0000000000000001E-4</v>
      </c>
      <c r="BC47" s="606">
        <f t="shared" si="14"/>
        <v>5.9999999999999995E-4</v>
      </c>
      <c r="BD47" s="606">
        <f t="shared" si="14"/>
        <v>6.9999999999999999E-4</v>
      </c>
      <c r="BE47" s="606">
        <f t="shared" si="14"/>
        <v>8.0000000000000004E-4</v>
      </c>
      <c r="BF47" s="606">
        <f t="shared" si="14"/>
        <v>8.9999999999999998E-4</v>
      </c>
      <c r="BG47" s="606">
        <f t="shared" si="14"/>
        <v>1E-3</v>
      </c>
    </row>
    <row r="48" spans="1:59" x14ac:dyDescent="0.2">
      <c r="A48" s="583" t="str">
        <f>IF(R48&gt;0,IF(Q48="v",RANK(B48,B$7:B$62,1)-COUNTBLANK(Q$7:Q$62),""),"")</f>
        <v/>
      </c>
      <c r="B48" s="584">
        <f t="shared" si="0"/>
        <v>-958</v>
      </c>
      <c r="C48" s="585" t="str">
        <f>IF(R48&gt;0,IF(P48="k",RANK(D48,D$7:D$62,1)-COUNTBLANK(P$7:P$62),""),"")</f>
        <v/>
      </c>
      <c r="D48" s="584">
        <f t="shared" si="1"/>
        <v>-958</v>
      </c>
      <c r="E48" s="586" t="str">
        <f>IF(R48&gt;0,IF(N48="m",RANK(F48,F$7:F$62,1)-COUNTBLANK(N$7:N$62),""),"")</f>
        <v/>
      </c>
      <c r="F48" s="584">
        <f t="shared" si="2"/>
        <v>-958</v>
      </c>
      <c r="G48" s="587">
        <f>IF(R48&gt;0,IF(M48="n",RANK(H48,H$7:H$62,1)-COUNTBLANK(M$7:M$62),""),"")</f>
        <v>8</v>
      </c>
      <c r="H48" s="584">
        <f t="shared" si="3"/>
        <v>42</v>
      </c>
      <c r="I48" s="588" t="str">
        <f>IF(R48&gt;0,IF(O48="j",RANK(J48,J$7:J$62,1)-COUNTBLANK(O$7:O$62),""),"")</f>
        <v/>
      </c>
      <c r="J48" s="589">
        <f t="shared" si="4"/>
        <v>-958</v>
      </c>
      <c r="K48" s="548">
        <f>IF(R48&gt;0,RANK(U48,U$7:U$62,1),"")</f>
        <v>42</v>
      </c>
      <c r="L48" s="607" t="s">
        <v>324</v>
      </c>
      <c r="M48" s="591" t="s">
        <v>234</v>
      </c>
      <c r="N48" s="592"/>
      <c r="O48" s="593"/>
      <c r="P48" s="594"/>
      <c r="Q48" s="595"/>
      <c r="R48" s="596">
        <f>(IF(COUNT(Z48,AA48,AB48,AC48,AD48,AE48,AF48,AG48,AH48,AI48)&lt;9,SUM(Z48,AA48,AB48,AC48,AD48,AE48,AF48,AG48,AH48,AI48),SUM(LARGE((Z48,AA48,AB48,AC48,AD48,AE48,AF48,AG48,AH48,AI48),{1;2;3;4;5;6;7;8;9}))))</f>
        <v>16</v>
      </c>
      <c r="S48" s="597" t="str">
        <f>INDEX(ETAPP!B$1:B$32,MATCH(COUNTIF(Z48:AI48,PVO!A$1),ETAPP!A$1:A$32,0))&amp;INDEX(ETAPP!B$1:B$32,MATCH(COUNTIF(Z48:AI48,PVO!A$2),ETAPP!A$1:A$32,0))&amp;INDEX(ETAPP!B$1:B$32,MATCH(COUNTIF(Z48:AI48,PVO!A$3),ETAPP!A$1:A$32,0))&amp;INDEX(ETAPP!B$1:B$32,MATCH(COUNTIF(Z48:AI48,PVO!A$4),ETAPP!A$1:A$32,0))&amp;INDEX(ETAPP!B$1:B$32,MATCH(COUNTIF(Z48:AI48,PVO!A$5),ETAPP!A$1:A$32,0))&amp;INDEX(ETAPP!B$1:B$32,MATCH(COUNTIF(Z48:AI48,PVO!A$6),ETAPP!A$1:A$32,0))&amp;INDEX(ETAPP!B$1:B$32,MATCH(COUNTIF(Z48:AI48,PVO!A$7),ETAPP!A$1:A$32,0))&amp;INDEX(ETAPP!B$1:B$32,MATCH(COUNTIF(Z48:AI48,PVO!A$8),ETAPP!A$1:A$32,0))&amp;INDEX(ETAPP!B$1:B$32,MATCH(COUNTIF(Z48:AI48,PVO!A$9),ETAPP!A$1:A$32,0))&amp;INDEX(ETAPP!B$1:B$32,MATCH(COUNTIF(Z48:AI48,PVO!A$10),ETAPP!A$1:A$32,0))&amp;INDEX(ETAPP!B$1:B$32,MATCH(COUNTIF(Z48:AI48,PVO!A$11),ETAPP!A$1:A$32,0))&amp;INDEX(ETAPP!B$1:B$32,MATCH(COUNTIF(Z48:AI48,PVO!A$12),ETAPP!A$1:A$32,0))&amp;INDEX(ETAPP!B$1:B$32,MATCH(COUNTIF(Z48:AI48,PVO!A$13),ETAPP!A$1:A$32,0))&amp;INDEX(ETAPP!B$1:B$32,MATCH(COUNTIF(Z48:AI48,PVO!A$14),ETAPP!A$1:A$32,0))&amp;INDEX(ETAPP!B$1:B$32,MATCH(COUNTIF(Z48:AI48,PVO!A$15),ETAPP!A$1:A$32,0))&amp;INDEX(ETAPP!B$1:B$32,MATCH(COUNTIF(Z48:AI48,PVO!A$16),ETAPP!A$1:A$32,0))&amp;INDEX(ETAPP!B$1:B$32,MATCH(COUNTIF(Z48:AI48,PVO!A$17),ETAPP!A$1:A$32,0))&amp;INDEX(ETAPP!B$1:B$32,MATCH(COUNTIF(Z48:AI48,PVO!A$18),ETAPP!A$1:A$32,0))&amp;INDEX(ETAPP!B$1:B$32,MATCH(COUNTIF(Z48:AI48,PVO!A$19),ETAPP!A$1:A$32,0))</f>
        <v>0000A00000000000000</v>
      </c>
      <c r="T48" s="597" t="str">
        <f t="shared" si="5"/>
        <v>016,0-0000A00000000000000</v>
      </c>
      <c r="U48" s="597">
        <f>COUNTIF(T$7:T$62,"&gt;="&amp;T48)</f>
        <v>42</v>
      </c>
      <c r="V48" s="597">
        <f>COUNTIF(L$7:L$62,"&gt;="&amp;L48)</f>
        <v>46</v>
      </c>
      <c r="W48" s="597" t="str">
        <f t="shared" si="6"/>
        <v>016,0-0000A00000000000000-046</v>
      </c>
      <c r="X48" s="597">
        <f>COUNTIF(W$7:W$62,"&gt;="&amp;W48)</f>
        <v>42</v>
      </c>
      <c r="Y48" s="598">
        <f>RANK(X48,X$7:X$62,0)</f>
        <v>15</v>
      </c>
      <c r="Z48" s="599" t="str">
        <f>IFERROR(INDEX('V1'!C$300:C$400,MATCH("*"&amp;L48&amp;"*",'V1'!B$300:B$400,0)),"  ")</f>
        <v xml:space="preserve">  </v>
      </c>
      <c r="AA48" s="599" t="str">
        <f>IFERROR(INDEX('V2'!C$300:C$400,MATCH("*"&amp;L48&amp;"*",'V2'!B$300:B$400,0)),"  ")</f>
        <v xml:space="preserve">  </v>
      </c>
      <c r="AB48" s="599" t="str">
        <f>IFERROR(INDEX('V3'!C$300:C$400,MATCH("*"&amp;L48&amp;"*",'V3'!B$300:B$400,0)),"  ")</f>
        <v xml:space="preserve">  </v>
      </c>
      <c r="AC48" s="599" t="str">
        <f>IFERROR(INDEX('V4'!C$300:C$400,MATCH("*"&amp;L48&amp;"*",'V4'!B$300:B$400,0)),"  ")</f>
        <v xml:space="preserve">  </v>
      </c>
      <c r="AD48" s="599" t="str">
        <f>IFERROR(INDEX('V5'!C$300:C$400,MATCH("*"&amp;L48&amp;"*",'V5'!B$300:B$400,0)),"  ")</f>
        <v xml:space="preserve">  </v>
      </c>
      <c r="AE48" s="599" t="str">
        <f>IFERROR(INDEX('V6'!C$300:C$400,MATCH("*"&amp;L48&amp;"*",'V6'!B$300:B$400,0)),"  ")</f>
        <v xml:space="preserve">  </v>
      </c>
      <c r="AF48" s="599">
        <f>IFERROR(INDEX('V7'!C$300:C$400,MATCH("*"&amp;L48&amp;"*",'V7'!B$300:B$400,0)),"  ")</f>
        <v>16</v>
      </c>
      <c r="AG48" s="599" t="str">
        <f>IFERROR(INDEX('V8'!C$300:C$400,MATCH("*"&amp;L48&amp;"*",'V8'!B$300:B$400,0)),"  ")</f>
        <v xml:space="preserve">  </v>
      </c>
      <c r="AH48" s="599" t="str">
        <f>IFERROR(INDEX('V9'!C$300:C$400,MATCH("*"&amp;L48&amp;"*",'V9'!B$300:B$400,0)),"  ")</f>
        <v xml:space="preserve">  </v>
      </c>
      <c r="AI48" s="599" t="str">
        <f>IFERROR(INDEX('V10'!C$300:C$400,MATCH("*"&amp;L48&amp;"*",'V10'!B$300:B$400,0)),"  ")</f>
        <v xml:space="preserve">  </v>
      </c>
      <c r="AJ48" s="600">
        <f t="shared" si="7"/>
        <v>0</v>
      </c>
      <c r="AK48" s="600" t="str">
        <f t="shared" si="8"/>
        <v/>
      </c>
      <c r="AL48" s="601">
        <f>IFERROR("edasi "&amp;RANK(AK48,AK$7:AK$62,0),K48)</f>
        <v>42</v>
      </c>
      <c r="AM48" s="602" t="str">
        <f>IFERROR(INDEX('V-fin'!A$300:A$400,MATCH("*"&amp;L48&amp;"*",'V-fin'!B$300:B$400,0)),"  ")</f>
        <v xml:space="preserve">  </v>
      </c>
      <c r="AN48" s="603">
        <f t="shared" si="9"/>
        <v>1</v>
      </c>
      <c r="AO48" s="604">
        <f>IFERROR(IF(Z48+1&gt;LARGE(Z$7:Z$62,1)-2,1),0)+IFERROR(IF(AA48+1&gt;LARGE(AA$7:AA$62,1)-2,1),0)+IFERROR(IF(AB48+1&gt;LARGE(AB$7:AB$62,1)-2,1),0)+IFERROR(IF(AC48+1&gt;LARGE(AC$7:AC$62,1)-2,1),0)+IFERROR(IF(AD48+1&gt;LARGE(AD$7:AD$62,1)-2,1),0)+IFERROR(IF(AE48+1&gt;LARGE(AE$7:AE$62,1)-2,1),0)+IFERROR(IF(AF48+1&gt;LARGE(AF$7:AF$62,1)-2,1),0)+IFERROR(IF(AG48+1&gt;LARGE(AG$7:AG$62,1)-2,1),0)+IFERROR(IF(AH48+1&gt;LARGE(AH$7:AH$62,1)-2,1),0)+IFERROR(IF(AI48+1&gt;LARGE(AI$7:AI$62,1)-2,1),0)</f>
        <v>0</v>
      </c>
      <c r="AP48" s="604">
        <f>IF(Z48=0,0,IF(Z48=IFERROR(LARGE(Z$7:Z$62,1),0),1,0))+IF(AA48=0,0,IF(AA48=IFERROR(LARGE(AA$7:AA$62,1),0),1,0))+IF(AB48=0,0,IF(AB48=IFERROR(LARGE(AB$7:AB$62,1),0),1,0))+IF(AC48=0,0,IF(AC48=IFERROR(LARGE(AC$7:AC$62,1),0),1,0))+IF(AD48=0,0,IF(AD48=IFERROR(LARGE(AD$7:AD$62,1),0),1,0))+IF(AE48=0,0,IF(AE48=IFERROR(LARGE(AE$7:AE$62,1),0),1,0))+IF(AF48=0,0,IF(AF48=IFERROR(LARGE(AF$7:AF$62,1),0),1,0))+IF(AG48=0,0,IF(AG48=IFERROR(LARGE(AG$7:AG$62,1),0),1,0))+IF(AH48=0,0,IF(AH48=IFERROR(LARGE(AH$7:AH$62,1),0),1,0))+IF(AI48=0,0,IF(AI48=IFERROR(LARGE(AI$7:AI$62,1),0),1,0))</f>
        <v>0</v>
      </c>
      <c r="AQ48" s="512"/>
      <c r="AR48" s="605"/>
      <c r="AS48" s="606"/>
      <c r="AT48" s="606"/>
      <c r="AU48" s="606"/>
      <c r="AV48" s="606"/>
      <c r="AW48" s="605">
        <f t="shared" si="10"/>
        <v>1E-4</v>
      </c>
      <c r="AX48" s="606">
        <f t="shared" si="15"/>
        <v>1E-4</v>
      </c>
      <c r="AY48" s="606">
        <f t="shared" si="15"/>
        <v>2.0000000000000001E-4</v>
      </c>
      <c r="AZ48" s="606">
        <f t="shared" si="15"/>
        <v>2.9999999999999997E-4</v>
      </c>
      <c r="BA48" s="606">
        <f t="shared" si="15"/>
        <v>4.0000000000000002E-4</v>
      </c>
      <c r="BB48" s="606">
        <f t="shared" si="15"/>
        <v>5.0000000000000001E-4</v>
      </c>
      <c r="BC48" s="606">
        <f t="shared" si="14"/>
        <v>5.9999999999999995E-4</v>
      </c>
      <c r="BD48" s="606">
        <f t="shared" si="14"/>
        <v>16.000699999999998</v>
      </c>
      <c r="BE48" s="606">
        <f t="shared" si="14"/>
        <v>8.0000000000000004E-4</v>
      </c>
      <c r="BF48" s="606">
        <f t="shared" si="14"/>
        <v>8.9999999999999998E-4</v>
      </c>
      <c r="BG48" s="606">
        <f t="shared" si="14"/>
        <v>1E-3</v>
      </c>
    </row>
    <row r="49" spans="1:59" x14ac:dyDescent="0.2">
      <c r="A49" s="583">
        <f>IF(R49&gt;0,IF(Q49="v",RANK(B49,B$7:B$62,1)-COUNTBLANK(Q$7:Q$62),""),"")</f>
        <v>26</v>
      </c>
      <c r="B49" s="584">
        <f t="shared" si="0"/>
        <v>43</v>
      </c>
      <c r="C49" s="585" t="str">
        <f>IF(R49&gt;0,IF(P49="k",RANK(D49,D$7:D$62,1)-COUNTBLANK(P$7:P$62),""),"")</f>
        <v/>
      </c>
      <c r="D49" s="584">
        <f t="shared" si="1"/>
        <v>-957</v>
      </c>
      <c r="E49" s="586">
        <f>IF(R49&gt;0,IF(N49="m",RANK(F49,F$7:F$62,1)-COUNTBLANK(N$7:N$62),""),"")</f>
        <v>35</v>
      </c>
      <c r="F49" s="584">
        <f t="shared" si="2"/>
        <v>43</v>
      </c>
      <c r="G49" s="587" t="str">
        <f>IF(R49&gt;0,IF(M49="n",RANK(H49,H$7:H$62,1)-COUNTBLANK(M$7:M$62),""),"")</f>
        <v/>
      </c>
      <c r="H49" s="584">
        <f t="shared" si="3"/>
        <v>-957</v>
      </c>
      <c r="I49" s="588" t="str">
        <f>IF(R49&gt;0,IF(O49="j",RANK(J49,J$7:J$62,1)-COUNTBLANK(O$7:O$62),""),"")</f>
        <v/>
      </c>
      <c r="J49" s="589">
        <f t="shared" si="4"/>
        <v>-957</v>
      </c>
      <c r="K49" s="548">
        <f>IF(R49&gt;0,RANK(U49,U$7:U$62,1),"")</f>
        <v>43</v>
      </c>
      <c r="L49" s="609" t="s">
        <v>236</v>
      </c>
      <c r="M49" s="591"/>
      <c r="N49" s="592" t="str">
        <f>IF(M49="","m","")</f>
        <v>m</v>
      </c>
      <c r="O49" s="593"/>
      <c r="P49" s="594"/>
      <c r="Q49" s="595" t="s">
        <v>319</v>
      </c>
      <c r="R49" s="596">
        <f>(IF(COUNT(Z49,AA49,AB49,AC49,AD49,AE49,AF49,AG49,AH49,AI49)&lt;9,SUM(Z49,AA49,AB49,AC49,AD49,AE49,AF49,AG49,AH49,AI49),SUM(LARGE((Z49,AA49,AB49,AC49,AD49,AE49,AF49,AG49,AH49,AI49),{1;2;3;4;5;6;7;8;9}))))</f>
        <v>15</v>
      </c>
      <c r="S49" s="597" t="str">
        <f>INDEX(ETAPP!B$1:B$32,MATCH(COUNTIF(Z49:AI49,PVO!A$1),ETAPP!A$1:A$32,0))&amp;INDEX(ETAPP!B$1:B$32,MATCH(COUNTIF(Z49:AI49,PVO!A$2),ETAPP!A$1:A$32,0))&amp;INDEX(ETAPP!B$1:B$32,MATCH(COUNTIF(Z49:AI49,PVO!A$3),ETAPP!A$1:A$32,0))&amp;INDEX(ETAPP!B$1:B$32,MATCH(COUNTIF(Z49:AI49,PVO!A$4),ETAPP!A$1:A$32,0))&amp;INDEX(ETAPP!B$1:B$32,MATCH(COUNTIF(Z49:AI49,PVO!A$5),ETAPP!A$1:A$32,0))&amp;INDEX(ETAPP!B$1:B$32,MATCH(COUNTIF(Z49:AI49,PVO!A$6),ETAPP!A$1:A$32,0))&amp;INDEX(ETAPP!B$1:B$32,MATCH(COUNTIF(Z49:AI49,PVO!A$7),ETAPP!A$1:A$32,0))&amp;INDEX(ETAPP!B$1:B$32,MATCH(COUNTIF(Z49:AI49,PVO!A$8),ETAPP!A$1:A$32,0))&amp;INDEX(ETAPP!B$1:B$32,MATCH(COUNTIF(Z49:AI49,PVO!A$9),ETAPP!A$1:A$32,0))&amp;INDEX(ETAPP!B$1:B$32,MATCH(COUNTIF(Z49:AI49,PVO!A$10),ETAPP!A$1:A$32,0))&amp;INDEX(ETAPP!B$1:B$32,MATCH(COUNTIF(Z49:AI49,PVO!A$11),ETAPP!A$1:A$32,0))&amp;INDEX(ETAPP!B$1:B$32,MATCH(COUNTIF(Z49:AI49,PVO!A$12),ETAPP!A$1:A$32,0))&amp;INDEX(ETAPP!B$1:B$32,MATCH(COUNTIF(Z49:AI49,PVO!A$13),ETAPP!A$1:A$32,0))&amp;INDEX(ETAPP!B$1:B$32,MATCH(COUNTIF(Z49:AI49,PVO!A$14),ETAPP!A$1:A$32,0))&amp;INDEX(ETAPP!B$1:B$32,MATCH(COUNTIF(Z49:AI49,PVO!A$15),ETAPP!A$1:A$32,0))&amp;INDEX(ETAPP!B$1:B$32,MATCH(COUNTIF(Z49:AI49,PVO!A$16),ETAPP!A$1:A$32,0))&amp;INDEX(ETAPP!B$1:B$32,MATCH(COUNTIF(Z49:AI49,PVO!A$17),ETAPP!A$1:A$32,0))&amp;INDEX(ETAPP!B$1:B$32,MATCH(COUNTIF(Z49:AI49,PVO!A$18),ETAPP!A$1:A$32,0))&amp;INDEX(ETAPP!B$1:B$32,MATCH(COUNTIF(Z49:AI49,PVO!A$19),ETAPP!A$1:A$32,0))</f>
        <v>00000A0000000000000</v>
      </c>
      <c r="T49" s="597" t="str">
        <f t="shared" si="5"/>
        <v>015,0-00000A0000000000000</v>
      </c>
      <c r="U49" s="597">
        <f>COUNTIF(T$7:T$62,"&gt;="&amp;T49)</f>
        <v>43</v>
      </c>
      <c r="V49" s="597">
        <f>COUNTIF(L$7:L$62,"&gt;="&amp;L49)</f>
        <v>52</v>
      </c>
      <c r="W49" s="597" t="str">
        <f t="shared" si="6"/>
        <v>015,0-00000A0000000000000-052</v>
      </c>
      <c r="X49" s="597">
        <f>COUNTIF(W$7:W$62,"&gt;="&amp;W49)</f>
        <v>43</v>
      </c>
      <c r="Y49" s="598">
        <f>RANK(X49,X$7:X$62,0)</f>
        <v>14</v>
      </c>
      <c r="Z49" s="599" t="str">
        <f>IFERROR(INDEX('V1'!C$300:C$400,MATCH("*"&amp;L49&amp;"*",'V1'!B$300:B$400,0)),"  ")</f>
        <v xml:space="preserve">  </v>
      </c>
      <c r="AA49" s="599">
        <f>IFERROR(INDEX('V2'!C$300:C$400,MATCH("*"&amp;L49&amp;"*",'V2'!B$300:B$400,0)),"  ")</f>
        <v>15</v>
      </c>
      <c r="AB49" s="599" t="str">
        <f>IFERROR(INDEX('V3'!C$300:C$400,MATCH("*"&amp;L49&amp;"*",'V3'!B$300:B$400,0)),"  ")</f>
        <v xml:space="preserve">  </v>
      </c>
      <c r="AC49" s="599" t="str">
        <f>IFERROR(INDEX('V4'!C$300:C$400,MATCH("*"&amp;L49&amp;"*",'V4'!B$300:B$400,0)),"  ")</f>
        <v xml:space="preserve">  </v>
      </c>
      <c r="AD49" s="599" t="str">
        <f>IFERROR(INDEX('V5'!C$300:C$400,MATCH("*"&amp;L49&amp;"*",'V5'!B$300:B$400,0)),"  ")</f>
        <v xml:space="preserve">  </v>
      </c>
      <c r="AE49" s="599" t="str">
        <f>IFERROR(INDEX('V6'!C$300:C$400,MATCH("*"&amp;L49&amp;"*",'V6'!B$300:B$400,0)),"  ")</f>
        <v xml:space="preserve">  </v>
      </c>
      <c r="AF49" s="599" t="str">
        <f>IFERROR(INDEX('V7'!C$300:C$400,MATCH("*"&amp;L49&amp;"*",'V7'!B$300:B$400,0)),"  ")</f>
        <v xml:space="preserve">  </v>
      </c>
      <c r="AG49" s="599" t="str">
        <f>IFERROR(INDEX('V8'!C$300:C$400,MATCH("*"&amp;L49&amp;"*",'V8'!B$300:B$400,0)),"  ")</f>
        <v xml:space="preserve">  </v>
      </c>
      <c r="AH49" s="599" t="str">
        <f>IFERROR(INDEX('V9'!C$300:C$400,MATCH("*"&amp;L49&amp;"*",'V9'!B$300:B$400,0)),"  ")</f>
        <v xml:space="preserve">  </v>
      </c>
      <c r="AI49" s="599" t="str">
        <f>IFERROR(INDEX('V10'!C$300:C$400,MATCH("*"&amp;L49&amp;"*",'V10'!B$300:B$400,0)),"  ")</f>
        <v xml:space="preserve">  </v>
      </c>
      <c r="AJ49" s="600">
        <f t="shared" si="7"/>
        <v>0</v>
      </c>
      <c r="AK49" s="600" t="str">
        <f t="shared" si="8"/>
        <v/>
      </c>
      <c r="AL49" s="601">
        <f>IFERROR("edasi "&amp;RANK(AK49,AK$7:AK$62,0),K49)</f>
        <v>43</v>
      </c>
      <c r="AM49" s="602" t="str">
        <f>IFERROR(INDEX('V-fin'!A$300:A$400,MATCH("*"&amp;L49&amp;"*",'V-fin'!B$300:B$400,0)),"  ")</f>
        <v xml:space="preserve">  </v>
      </c>
      <c r="AN49" s="603">
        <f t="shared" si="9"/>
        <v>1</v>
      </c>
      <c r="AO49" s="604">
        <f>IFERROR(IF(Z49+1&gt;LARGE(Z$7:Z$62,1)-2,1),0)+IFERROR(IF(AA49+1&gt;LARGE(AA$7:AA$62,1)-2,1),0)+IFERROR(IF(AB49+1&gt;LARGE(AB$7:AB$62,1)-2,1),0)+IFERROR(IF(AC49+1&gt;LARGE(AC$7:AC$62,1)-2,1),0)+IFERROR(IF(AD49+1&gt;LARGE(AD$7:AD$62,1)-2,1),0)+IFERROR(IF(AE49+1&gt;LARGE(AE$7:AE$62,1)-2,1),0)+IFERROR(IF(AF49+1&gt;LARGE(AF$7:AF$62,1)-2,1),0)+IFERROR(IF(AG49+1&gt;LARGE(AG$7:AG$62,1)-2,1),0)+IFERROR(IF(AH49+1&gt;LARGE(AH$7:AH$62,1)-2,1),0)+IFERROR(IF(AI49+1&gt;LARGE(AI$7:AI$62,1)-2,1),0)</f>
        <v>0</v>
      </c>
      <c r="AP49" s="604">
        <f>IF(Z49=0,0,IF(Z49=IFERROR(LARGE(Z$7:Z$62,1),0),1,0))+IF(AA49=0,0,IF(AA49=IFERROR(LARGE(AA$7:AA$62,1),0),1,0))+IF(AB49=0,0,IF(AB49=IFERROR(LARGE(AB$7:AB$62,1),0),1,0))+IF(AC49=0,0,IF(AC49=IFERROR(LARGE(AC$7:AC$62,1),0),1,0))+IF(AD49=0,0,IF(AD49=IFERROR(LARGE(AD$7:AD$62,1),0),1,0))+IF(AE49=0,0,IF(AE49=IFERROR(LARGE(AE$7:AE$62,1),0),1,0))+IF(AF49=0,0,IF(AF49=IFERROR(LARGE(AF$7:AF$62,1),0),1,0))+IF(AG49=0,0,IF(AG49=IFERROR(LARGE(AG$7:AG$62,1),0),1,0))+IF(AH49=0,0,IF(AH49=IFERROR(LARGE(AH$7:AH$62,1),0),1,0))+IF(AI49=0,0,IF(AI49=IFERROR(LARGE(AI$7:AI$62,1),0),1,0))</f>
        <v>0</v>
      </c>
      <c r="AQ49" s="512"/>
      <c r="AR49" s="605"/>
      <c r="AS49" s="606"/>
      <c r="AT49" s="606"/>
      <c r="AU49" s="606"/>
      <c r="AV49" s="606"/>
      <c r="AW49" s="605">
        <f t="shared" si="10"/>
        <v>1E-4</v>
      </c>
      <c r="AX49" s="606">
        <f t="shared" si="15"/>
        <v>1E-4</v>
      </c>
      <c r="AY49" s="606">
        <f t="shared" si="15"/>
        <v>15.0002</v>
      </c>
      <c r="AZ49" s="606">
        <f t="shared" si="15"/>
        <v>2.9999999999999997E-4</v>
      </c>
      <c r="BA49" s="606">
        <f t="shared" si="15"/>
        <v>4.0000000000000002E-4</v>
      </c>
      <c r="BB49" s="606">
        <f t="shared" si="15"/>
        <v>5.0000000000000001E-4</v>
      </c>
      <c r="BC49" s="606">
        <f t="shared" si="14"/>
        <v>5.9999999999999995E-4</v>
      </c>
      <c r="BD49" s="606">
        <f t="shared" si="14"/>
        <v>6.9999999999999999E-4</v>
      </c>
      <c r="BE49" s="606">
        <f t="shared" si="14"/>
        <v>8.0000000000000004E-4</v>
      </c>
      <c r="BF49" s="606">
        <f t="shared" si="14"/>
        <v>8.9999999999999998E-4</v>
      </c>
      <c r="BG49" s="606">
        <f t="shared" si="14"/>
        <v>1E-3</v>
      </c>
    </row>
    <row r="50" spans="1:59" x14ac:dyDescent="0.2">
      <c r="A50" s="583" t="str">
        <f>IF(R50&gt;0,IF(Q50="v",RANK(B50,B$7:B$62,1)-COUNTBLANK(Q$7:Q$62),""),"")</f>
        <v/>
      </c>
      <c r="B50" s="584">
        <f t="shared" si="0"/>
        <v>-954</v>
      </c>
      <c r="C50" s="585" t="str">
        <f>IF(R50&gt;0,IF(P50="k",RANK(D50,D$7:D$62,1)-COUNTBLANK(P$7:P$62),""),"")</f>
        <v/>
      </c>
      <c r="D50" s="584">
        <f t="shared" si="1"/>
        <v>-954</v>
      </c>
      <c r="E50" s="586">
        <f>IF(R50&gt;0,IF(N50="m",RANK(F50,F$7:F$62,1)-COUNTBLANK(N$7:N$62),""),"")</f>
        <v>36</v>
      </c>
      <c r="F50" s="584">
        <f t="shared" si="2"/>
        <v>46</v>
      </c>
      <c r="G50" s="587" t="str">
        <f>IF(R50&gt;0,IF(M50="n",RANK(H50,H$7:H$62,1)-COUNTBLANK(M$7:M$62),""),"")</f>
        <v/>
      </c>
      <c r="H50" s="584">
        <f t="shared" si="3"/>
        <v>-954</v>
      </c>
      <c r="I50" s="588" t="str">
        <f>IF(R50&gt;0,IF(O50="j",RANK(J50,J$7:J$62,1)-COUNTBLANK(O$7:O$62),""),"")</f>
        <v/>
      </c>
      <c r="J50" s="589">
        <f t="shared" si="4"/>
        <v>-954</v>
      </c>
      <c r="K50" s="548">
        <f>IF(R50&gt;0,RANK(U50,U$7:U$62,1),"")</f>
        <v>44</v>
      </c>
      <c r="L50" s="590" t="s">
        <v>325</v>
      </c>
      <c r="M50" s="591"/>
      <c r="N50" s="592" t="str">
        <f>IF(M50="","m","")</f>
        <v>m</v>
      </c>
      <c r="O50" s="593"/>
      <c r="P50" s="594"/>
      <c r="Q50" s="595"/>
      <c r="R50" s="596">
        <f>(IF(COUNT(Z50,AA50,AB50,AC50,AD50,AE50,AF50,AG50,AH50,AI50)&lt;9,SUM(Z50,AA50,AB50,AC50,AD50,AE50,AF50,AG50,AH50,AI50),SUM(LARGE((Z50,AA50,AB50,AC50,AD50,AE50,AF50,AG50,AH50,AI50),{1;2;3;4;5;6;7;8;9}))))</f>
        <v>14</v>
      </c>
      <c r="S50" s="597" t="str">
        <f>INDEX(ETAPP!B$1:B$32,MATCH(COUNTIF(Z50:AI50,PVO!A$1),ETAPP!A$1:A$32,0))&amp;INDEX(ETAPP!B$1:B$32,MATCH(COUNTIF(Z50:AI50,PVO!A$2),ETAPP!A$1:A$32,0))&amp;INDEX(ETAPP!B$1:B$32,MATCH(COUNTIF(Z50:AI50,PVO!A$3),ETAPP!A$1:A$32,0))&amp;INDEX(ETAPP!B$1:B$32,MATCH(COUNTIF(Z50:AI50,PVO!A$4),ETAPP!A$1:A$32,0))&amp;INDEX(ETAPP!B$1:B$32,MATCH(COUNTIF(Z50:AI50,PVO!A$5),ETAPP!A$1:A$32,0))&amp;INDEX(ETAPP!B$1:B$32,MATCH(COUNTIF(Z50:AI50,PVO!A$6),ETAPP!A$1:A$32,0))&amp;INDEX(ETAPP!B$1:B$32,MATCH(COUNTIF(Z50:AI50,PVO!A$7),ETAPP!A$1:A$32,0))&amp;INDEX(ETAPP!B$1:B$32,MATCH(COUNTIF(Z50:AI50,PVO!A$8),ETAPP!A$1:A$32,0))&amp;INDEX(ETAPP!B$1:B$32,MATCH(COUNTIF(Z50:AI50,PVO!A$9),ETAPP!A$1:A$32,0))&amp;INDEX(ETAPP!B$1:B$32,MATCH(COUNTIF(Z50:AI50,PVO!A$10),ETAPP!A$1:A$32,0))&amp;INDEX(ETAPP!B$1:B$32,MATCH(COUNTIF(Z50:AI50,PVO!A$11),ETAPP!A$1:A$32,0))&amp;INDEX(ETAPP!B$1:B$32,MATCH(COUNTIF(Z50:AI50,PVO!A$12),ETAPP!A$1:A$32,0))&amp;INDEX(ETAPP!B$1:B$32,MATCH(COUNTIF(Z50:AI50,PVO!A$13),ETAPP!A$1:A$32,0))&amp;INDEX(ETAPP!B$1:B$32,MATCH(COUNTIF(Z50:AI50,PVO!A$14),ETAPP!A$1:A$32,0))&amp;INDEX(ETAPP!B$1:B$32,MATCH(COUNTIF(Z50:AI50,PVO!A$15),ETAPP!A$1:A$32,0))&amp;INDEX(ETAPP!B$1:B$32,MATCH(COUNTIF(Z50:AI50,PVO!A$16),ETAPP!A$1:A$32,0))&amp;INDEX(ETAPP!B$1:B$32,MATCH(COUNTIF(Z50:AI50,PVO!A$17),ETAPP!A$1:A$32,0))&amp;INDEX(ETAPP!B$1:B$32,MATCH(COUNTIF(Z50:AI50,PVO!A$18),ETAPP!A$1:A$32,0))&amp;INDEX(ETAPP!B$1:B$32,MATCH(COUNTIF(Z50:AI50,PVO!A$19),ETAPP!A$1:A$32,0))</f>
        <v>000000A000000000000</v>
      </c>
      <c r="T50" s="597" t="str">
        <f t="shared" si="5"/>
        <v>014,0-000000A000000000000</v>
      </c>
      <c r="U50" s="597">
        <f>COUNTIF(T$7:T$62,"&gt;="&amp;T50)</f>
        <v>46</v>
      </c>
      <c r="V50" s="597">
        <f>COUNTIF(L$7:L$62,"&gt;="&amp;L50)</f>
        <v>25</v>
      </c>
      <c r="W50" s="597" t="str">
        <f t="shared" si="6"/>
        <v>014,0-000000A000000000000-025</v>
      </c>
      <c r="X50" s="597">
        <f>COUNTIF(W$7:W$62,"&gt;="&amp;W50)</f>
        <v>44</v>
      </c>
      <c r="Y50" s="598">
        <f>RANK(X50,X$7:X$62,0)</f>
        <v>13</v>
      </c>
      <c r="Z50" s="599">
        <f>IFERROR(INDEX('V1'!C$300:C$400,MATCH("*"&amp;L50&amp;"*",'V1'!B$300:B$400,0)),"  ")</f>
        <v>14</v>
      </c>
      <c r="AA50" s="599" t="str">
        <f>IFERROR(INDEX('V2'!C$300:C$400,MATCH("*"&amp;L50&amp;"*",'V2'!B$300:B$400,0)),"  ")</f>
        <v xml:space="preserve">  </v>
      </c>
      <c r="AB50" s="599" t="str">
        <f>IFERROR(INDEX('V3'!C$300:C$400,MATCH("*"&amp;L50&amp;"*",'V3'!B$300:B$400,0)),"  ")</f>
        <v xml:space="preserve">  </v>
      </c>
      <c r="AC50" s="599" t="str">
        <f>IFERROR(INDEX('V4'!C$300:C$400,MATCH("*"&amp;L50&amp;"*",'V4'!B$300:B$400,0)),"  ")</f>
        <v xml:space="preserve">  </v>
      </c>
      <c r="AD50" s="599" t="str">
        <f>IFERROR(INDEX('V5'!C$300:C$400,MATCH("*"&amp;L50&amp;"*",'V5'!B$300:B$400,0)),"  ")</f>
        <v xml:space="preserve">  </v>
      </c>
      <c r="AE50" s="599" t="str">
        <f>IFERROR(INDEX('V6'!C$300:C$400,MATCH("*"&amp;L50&amp;"*",'V6'!B$300:B$400,0)),"  ")</f>
        <v xml:space="preserve">  </v>
      </c>
      <c r="AF50" s="599" t="str">
        <f>IFERROR(INDEX('V7'!C$300:C$400,MATCH("*"&amp;L50&amp;"*",'V7'!B$300:B$400,0)),"  ")</f>
        <v xml:space="preserve">  </v>
      </c>
      <c r="AG50" s="599" t="str">
        <f>IFERROR(INDEX('V8'!C$300:C$400,MATCH("*"&amp;L50&amp;"*",'V8'!B$300:B$400,0)),"  ")</f>
        <v xml:space="preserve">  </v>
      </c>
      <c r="AH50" s="599" t="str">
        <f>IFERROR(INDEX('V9'!C$300:C$400,MATCH("*"&amp;L50&amp;"*",'V9'!B$300:B$400,0)),"  ")</f>
        <v xml:space="preserve">  </v>
      </c>
      <c r="AI50" s="599" t="str">
        <f>IFERROR(INDEX('V10'!C$300:C$400,MATCH("*"&amp;L50&amp;"*",'V10'!B$300:B$400,0)),"  ")</f>
        <v xml:space="preserve">  </v>
      </c>
      <c r="AJ50" s="600">
        <f t="shared" si="7"/>
        <v>0</v>
      </c>
      <c r="AK50" s="600" t="str">
        <f t="shared" si="8"/>
        <v/>
      </c>
      <c r="AL50" s="601">
        <f>IFERROR("edasi "&amp;RANK(AK50,AK$7:AK$62,0),K50)</f>
        <v>44</v>
      </c>
      <c r="AM50" s="602" t="str">
        <f>IFERROR(INDEX('V-fin'!A$300:A$400,MATCH("*"&amp;L50&amp;"*",'V-fin'!B$300:B$400,0)),"  ")</f>
        <v xml:space="preserve">  </v>
      </c>
      <c r="AN50" s="603">
        <f t="shared" si="9"/>
        <v>1</v>
      </c>
      <c r="AO50" s="604">
        <f>IFERROR(IF(Z50+1&gt;LARGE(Z$7:Z$62,1)-2,1),0)+IFERROR(IF(AA50+1&gt;LARGE(AA$7:AA$62,1)-2,1),0)+IFERROR(IF(AB50+1&gt;LARGE(AB$7:AB$62,1)-2,1),0)+IFERROR(IF(AC50+1&gt;LARGE(AC$7:AC$62,1)-2,1),0)+IFERROR(IF(AD50+1&gt;LARGE(AD$7:AD$62,1)-2,1),0)+IFERROR(IF(AE50+1&gt;LARGE(AE$7:AE$62,1)-2,1),0)+IFERROR(IF(AF50+1&gt;LARGE(AF$7:AF$62,1)-2,1),0)+IFERROR(IF(AG50+1&gt;LARGE(AG$7:AG$62,1)-2,1),0)+IFERROR(IF(AH50+1&gt;LARGE(AH$7:AH$62,1)-2,1),0)+IFERROR(IF(AI50+1&gt;LARGE(AI$7:AI$62,1)-2,1),0)</f>
        <v>0</v>
      </c>
      <c r="AP50" s="604">
        <f>IF(Z50=0,0,IF(Z50=IFERROR(LARGE(Z$7:Z$62,1),0),1,0))+IF(AA50=0,0,IF(AA50=IFERROR(LARGE(AA$7:AA$62,1),0),1,0))+IF(AB50=0,0,IF(AB50=IFERROR(LARGE(AB$7:AB$62,1),0),1,0))+IF(AC50=0,0,IF(AC50=IFERROR(LARGE(AC$7:AC$62,1),0),1,0))+IF(AD50=0,0,IF(AD50=IFERROR(LARGE(AD$7:AD$62,1),0),1,0))+IF(AE50=0,0,IF(AE50=IFERROR(LARGE(AE$7:AE$62,1),0),1,0))+IF(AF50=0,0,IF(AF50=IFERROR(LARGE(AF$7:AF$62,1),0),1,0))+IF(AG50=0,0,IF(AG50=IFERROR(LARGE(AG$7:AG$62,1),0),1,0))+IF(AH50=0,0,IF(AH50=IFERROR(LARGE(AH$7:AH$62,1),0),1,0))+IF(AI50=0,0,IF(AI50=IFERROR(LARGE(AI$7:AI$62,1),0),1,0))</f>
        <v>0</v>
      </c>
      <c r="AQ50" s="512"/>
      <c r="AR50" s="605"/>
      <c r="AS50" s="606"/>
      <c r="AT50" s="606"/>
      <c r="AU50" s="606"/>
      <c r="AV50" s="606"/>
      <c r="AW50" s="605">
        <f t="shared" si="10"/>
        <v>2.0000000000000001E-4</v>
      </c>
      <c r="AX50" s="606">
        <f t="shared" si="15"/>
        <v>14.0001</v>
      </c>
      <c r="AY50" s="606">
        <f t="shared" si="15"/>
        <v>2.0000000000000001E-4</v>
      </c>
      <c r="AZ50" s="606">
        <f t="shared" si="15"/>
        <v>2.9999999999999997E-4</v>
      </c>
      <c r="BA50" s="606">
        <f t="shared" si="15"/>
        <v>4.0000000000000002E-4</v>
      </c>
      <c r="BB50" s="606">
        <f t="shared" si="15"/>
        <v>5.0000000000000001E-4</v>
      </c>
      <c r="BC50" s="606">
        <f t="shared" si="14"/>
        <v>5.9999999999999995E-4</v>
      </c>
      <c r="BD50" s="606">
        <f t="shared" si="14"/>
        <v>6.9999999999999999E-4</v>
      </c>
      <c r="BE50" s="606">
        <f t="shared" si="14"/>
        <v>8.0000000000000004E-4</v>
      </c>
      <c r="BF50" s="606">
        <f t="shared" si="14"/>
        <v>8.9999999999999998E-4</v>
      </c>
      <c r="BG50" s="606">
        <f t="shared" si="14"/>
        <v>1E-3</v>
      </c>
    </row>
    <row r="51" spans="1:59" x14ac:dyDescent="0.2">
      <c r="A51" s="583" t="str">
        <f>IF(R51&gt;0,IF(Q51="v",RANK(B51,B$7:B$62,1)-COUNTBLANK(Q$7:Q$62),""),"")</f>
        <v/>
      </c>
      <c r="B51" s="584">
        <f t="shared" si="0"/>
        <v>-954</v>
      </c>
      <c r="C51" s="585" t="str">
        <f>IF(R51&gt;0,IF(P51="k",RANK(D51,D$7:D$62,1)-COUNTBLANK(P$7:P$62),""),"")</f>
        <v/>
      </c>
      <c r="D51" s="584">
        <f t="shared" si="1"/>
        <v>-954</v>
      </c>
      <c r="E51" s="586">
        <f>IF(R51&gt;0,IF(N51="m",RANK(F51,F$7:F$62,1)-COUNTBLANK(N$7:N$62),""),"")</f>
        <v>36</v>
      </c>
      <c r="F51" s="584">
        <f t="shared" si="2"/>
        <v>46</v>
      </c>
      <c r="G51" s="587" t="str">
        <f>IF(R51&gt;0,IF(M51="n",RANK(H51,H$7:H$62,1)-COUNTBLANK(M$7:M$62),""),"")</f>
        <v/>
      </c>
      <c r="H51" s="584">
        <f t="shared" si="3"/>
        <v>-954</v>
      </c>
      <c r="I51" s="588" t="str">
        <f>IF(R51&gt;0,IF(O51="j",RANK(J51,J$7:J$62,1)-COUNTBLANK(O$7:O$62),""),"")</f>
        <v/>
      </c>
      <c r="J51" s="589">
        <f t="shared" si="4"/>
        <v>-954</v>
      </c>
      <c r="K51" s="548">
        <f>IF(R51&gt;0,RANK(U51,U$7:U$62,1),"")</f>
        <v>44</v>
      </c>
      <c r="L51" s="590" t="s">
        <v>326</v>
      </c>
      <c r="M51" s="591"/>
      <c r="N51" s="592" t="s">
        <v>321</v>
      </c>
      <c r="O51" s="593"/>
      <c r="P51" s="629"/>
      <c r="Q51" s="595"/>
      <c r="R51" s="596">
        <f>(IF(COUNT(Z51,AA51,AB51,AC51,AD51,AE51,AF51,AG51,AH51,AI51)&lt;9,SUM(Z51,AA51,AB51,AC51,AD51,AE51,AF51,AG51,AH51,AI51),SUM(LARGE((Z51,AA51,AB51,AC51,AD51,AE51,AF51,AG51,AH51,AI51),{1;2;3;4;5;6;7;8;9}))))</f>
        <v>14</v>
      </c>
      <c r="S51" s="597" t="str">
        <f>INDEX(ETAPP!B$1:B$32,MATCH(COUNTIF(Z51:AI51,PVO!A$1),ETAPP!A$1:A$32,0))&amp;INDEX(ETAPP!B$1:B$32,MATCH(COUNTIF(Z51:AI51,PVO!A$2),ETAPP!A$1:A$32,0))&amp;INDEX(ETAPP!B$1:B$32,MATCH(COUNTIF(Z51:AI51,PVO!A$3),ETAPP!A$1:A$32,0))&amp;INDEX(ETAPP!B$1:B$32,MATCH(COUNTIF(Z51:AI51,PVO!A$4),ETAPP!A$1:A$32,0))&amp;INDEX(ETAPP!B$1:B$32,MATCH(COUNTIF(Z51:AI51,PVO!A$5),ETAPP!A$1:A$32,0))&amp;INDEX(ETAPP!B$1:B$32,MATCH(COUNTIF(Z51:AI51,PVO!A$6),ETAPP!A$1:A$32,0))&amp;INDEX(ETAPP!B$1:B$32,MATCH(COUNTIF(Z51:AI51,PVO!A$7),ETAPP!A$1:A$32,0))&amp;INDEX(ETAPP!B$1:B$32,MATCH(COUNTIF(Z51:AI51,PVO!A$8),ETAPP!A$1:A$32,0))&amp;INDEX(ETAPP!B$1:B$32,MATCH(COUNTIF(Z51:AI51,PVO!A$9),ETAPP!A$1:A$32,0))&amp;INDEX(ETAPP!B$1:B$32,MATCH(COUNTIF(Z51:AI51,PVO!A$10),ETAPP!A$1:A$32,0))&amp;INDEX(ETAPP!B$1:B$32,MATCH(COUNTIF(Z51:AI51,PVO!A$11),ETAPP!A$1:A$32,0))&amp;INDEX(ETAPP!B$1:B$32,MATCH(COUNTIF(Z51:AI51,PVO!A$12),ETAPP!A$1:A$32,0))&amp;INDEX(ETAPP!B$1:B$32,MATCH(COUNTIF(Z51:AI51,PVO!A$13),ETAPP!A$1:A$32,0))&amp;INDEX(ETAPP!B$1:B$32,MATCH(COUNTIF(Z51:AI51,PVO!A$14),ETAPP!A$1:A$32,0))&amp;INDEX(ETAPP!B$1:B$32,MATCH(COUNTIF(Z51:AI51,PVO!A$15),ETAPP!A$1:A$32,0))&amp;INDEX(ETAPP!B$1:B$32,MATCH(COUNTIF(Z51:AI51,PVO!A$16),ETAPP!A$1:A$32,0))&amp;INDEX(ETAPP!B$1:B$32,MATCH(COUNTIF(Z51:AI51,PVO!A$17),ETAPP!A$1:A$32,0))&amp;INDEX(ETAPP!B$1:B$32,MATCH(COUNTIF(Z51:AI51,PVO!A$18),ETAPP!A$1:A$32,0))&amp;INDEX(ETAPP!B$1:B$32,MATCH(COUNTIF(Z51:AI51,PVO!A$19),ETAPP!A$1:A$32,0))</f>
        <v>000000A000000000000</v>
      </c>
      <c r="T51" s="597" t="str">
        <f t="shared" si="5"/>
        <v>014,0-000000A000000000000</v>
      </c>
      <c r="U51" s="597">
        <f>COUNTIF(T$7:T$62,"&gt;="&amp;T51)</f>
        <v>46</v>
      </c>
      <c r="V51" s="597">
        <f>COUNTIF(L$7:L$62,"&gt;="&amp;L51)</f>
        <v>16</v>
      </c>
      <c r="W51" s="597" t="str">
        <f t="shared" si="6"/>
        <v>014,0-000000A000000000000-016</v>
      </c>
      <c r="X51" s="597">
        <f>COUNTIF(W$7:W$62,"&gt;="&amp;W51)</f>
        <v>45</v>
      </c>
      <c r="Y51" s="598">
        <f>RANK(X51,X$7:X$62,0)</f>
        <v>12</v>
      </c>
      <c r="Z51" s="599" t="str">
        <f>IFERROR(INDEX('V1'!C$300:C$400,MATCH("*"&amp;L51&amp;"*",'V1'!B$300:B$400,0)),"  ")</f>
        <v xml:space="preserve">  </v>
      </c>
      <c r="AA51" s="599" t="str">
        <f>IFERROR(INDEX('V2'!C$300:C$400,MATCH("*"&amp;L51&amp;"*",'V2'!B$300:B$400,0)),"  ")</f>
        <v xml:space="preserve">  </v>
      </c>
      <c r="AB51" s="599" t="str">
        <f>IFERROR(INDEX('V3'!C$300:C$400,MATCH("*"&amp;L51&amp;"*",'V3'!B$300:B$400,0)),"  ")</f>
        <v xml:space="preserve">  </v>
      </c>
      <c r="AC51" s="599" t="str">
        <f>IFERROR(INDEX('V4'!C$300:C$400,MATCH("*"&amp;L51&amp;"*",'V4'!B$300:B$400,0)),"  ")</f>
        <v xml:space="preserve">  </v>
      </c>
      <c r="AD51" s="599" t="str">
        <f>IFERROR(INDEX('V5'!C$300:C$400,MATCH("*"&amp;L51&amp;"*",'V5'!B$300:B$400,0)),"  ")</f>
        <v xml:space="preserve">  </v>
      </c>
      <c r="AE51" s="599" t="str">
        <f>IFERROR(INDEX('V6'!C$300:C$400,MATCH("*"&amp;L51&amp;"*",'V6'!B$300:B$400,0)),"  ")</f>
        <v xml:space="preserve">  </v>
      </c>
      <c r="AF51" s="599">
        <f>IFERROR(INDEX('V7'!C$300:C$400,MATCH("*"&amp;L51&amp;"*",'V7'!B$300:B$400,0)),"  ")</f>
        <v>14</v>
      </c>
      <c r="AG51" s="599" t="str">
        <f>IFERROR(INDEX('V8'!C$300:C$400,MATCH("*"&amp;L51&amp;"*",'V8'!B$300:B$400,0)),"  ")</f>
        <v xml:space="preserve">  </v>
      </c>
      <c r="AH51" s="599" t="str">
        <f>IFERROR(INDEX('V9'!C$300:C$400,MATCH("*"&amp;L51&amp;"*",'V9'!B$300:B$400,0)),"  ")</f>
        <v xml:space="preserve">  </v>
      </c>
      <c r="AI51" s="599" t="str">
        <f>IFERROR(INDEX('V10'!C$300:C$400,MATCH("*"&amp;L51&amp;"*",'V10'!B$300:B$400,0)),"  ")</f>
        <v xml:space="preserve">  </v>
      </c>
      <c r="AJ51" s="600">
        <f t="shared" si="7"/>
        <v>0</v>
      </c>
      <c r="AK51" s="600" t="str">
        <f t="shared" si="8"/>
        <v/>
      </c>
      <c r="AL51" s="601">
        <f>IFERROR("edasi "&amp;RANK(AK51,AK$7:AK$62,0),K51)</f>
        <v>44</v>
      </c>
      <c r="AM51" s="602" t="str">
        <f>IFERROR(INDEX('V-fin'!A$300:A$400,MATCH("*"&amp;L51&amp;"*",'V-fin'!B$300:B$400,0)),"  ")</f>
        <v xml:space="preserve">  </v>
      </c>
      <c r="AN51" s="603">
        <f t="shared" si="9"/>
        <v>1</v>
      </c>
      <c r="AO51" s="604">
        <f>IFERROR(IF(Z51+1&gt;LARGE(Z$7:Z$62,1)-2,1),0)+IFERROR(IF(AA51+1&gt;LARGE(AA$7:AA$62,1)-2,1),0)+IFERROR(IF(AB51+1&gt;LARGE(AB$7:AB$62,1)-2,1),0)+IFERROR(IF(AC51+1&gt;LARGE(AC$7:AC$62,1)-2,1),0)+IFERROR(IF(AD51+1&gt;LARGE(AD$7:AD$62,1)-2,1),0)+IFERROR(IF(AE51+1&gt;LARGE(AE$7:AE$62,1)-2,1),0)+IFERROR(IF(AF51+1&gt;LARGE(AF$7:AF$62,1)-2,1),0)+IFERROR(IF(AG51+1&gt;LARGE(AG$7:AG$62,1)-2,1),0)+IFERROR(IF(AH51+1&gt;LARGE(AH$7:AH$62,1)-2,1),0)+IFERROR(IF(AI51+1&gt;LARGE(AI$7:AI$62,1)-2,1),0)</f>
        <v>0</v>
      </c>
      <c r="AP51" s="604">
        <f>IF(Z51=0,0,IF(Z51=IFERROR(LARGE(Z$7:Z$62,1),0),1,0))+IF(AA51=0,0,IF(AA51=IFERROR(LARGE(AA$7:AA$62,1),0),1,0))+IF(AB51=0,0,IF(AB51=IFERROR(LARGE(AB$7:AB$62,1),0),1,0))+IF(AC51=0,0,IF(AC51=IFERROR(LARGE(AC$7:AC$62,1),0),1,0))+IF(AD51=0,0,IF(AD51=IFERROR(LARGE(AD$7:AD$62,1),0),1,0))+IF(AE51=0,0,IF(AE51=IFERROR(LARGE(AE$7:AE$62,1),0),1,0))+IF(AF51=0,0,IF(AF51=IFERROR(LARGE(AF$7:AF$62,1),0),1,0))+IF(AG51=0,0,IF(AG51=IFERROR(LARGE(AG$7:AG$62,1),0),1,0))+IF(AH51=0,0,IF(AH51=IFERROR(LARGE(AH$7:AH$62,1),0),1,0))+IF(AI51=0,0,IF(AI51=IFERROR(LARGE(AI$7:AI$62,1),0),1,0))</f>
        <v>0</v>
      </c>
      <c r="AQ51" s="512"/>
      <c r="AR51" s="605"/>
      <c r="AS51" s="606"/>
      <c r="AT51" s="606"/>
      <c r="AU51" s="606"/>
      <c r="AV51" s="606"/>
      <c r="AW51" s="605">
        <f t="shared" si="10"/>
        <v>1E-4</v>
      </c>
      <c r="AX51" s="606">
        <f t="shared" si="15"/>
        <v>1E-4</v>
      </c>
      <c r="AY51" s="606">
        <f t="shared" si="15"/>
        <v>2.0000000000000001E-4</v>
      </c>
      <c r="AZ51" s="606">
        <f t="shared" si="15"/>
        <v>2.9999999999999997E-4</v>
      </c>
      <c r="BA51" s="606">
        <f t="shared" si="15"/>
        <v>4.0000000000000002E-4</v>
      </c>
      <c r="BB51" s="606">
        <f t="shared" si="15"/>
        <v>5.0000000000000001E-4</v>
      </c>
      <c r="BC51" s="606">
        <f t="shared" si="14"/>
        <v>5.9999999999999995E-4</v>
      </c>
      <c r="BD51" s="606">
        <f t="shared" si="14"/>
        <v>14.0007</v>
      </c>
      <c r="BE51" s="606">
        <f t="shared" si="14"/>
        <v>8.0000000000000004E-4</v>
      </c>
      <c r="BF51" s="606">
        <f t="shared" si="14"/>
        <v>8.9999999999999998E-4</v>
      </c>
      <c r="BG51" s="606">
        <f t="shared" si="14"/>
        <v>1E-3</v>
      </c>
    </row>
    <row r="52" spans="1:59" x14ac:dyDescent="0.2">
      <c r="A52" s="583">
        <f>IF(R52&gt;0,IF(Q52="v",RANK(B52,B$7:B$62,1)-COUNTBLANK(Q$7:Q$62),""),"")</f>
        <v>27</v>
      </c>
      <c r="B52" s="584">
        <f t="shared" si="0"/>
        <v>46</v>
      </c>
      <c r="C52" s="585" t="str">
        <f>IF(R52&gt;0,IF(P52="k",RANK(D52,D$7:D$62,1)-COUNTBLANK(P$7:P$62),""),"")</f>
        <v/>
      </c>
      <c r="D52" s="584">
        <f t="shared" si="1"/>
        <v>-954</v>
      </c>
      <c r="E52" s="586" t="str">
        <f>IF(R52&gt;0,IF(N52="m",RANK(F52,F$7:F$62,1)-COUNTBLANK(N$7:N$62),""),"")</f>
        <v/>
      </c>
      <c r="F52" s="584">
        <f t="shared" si="2"/>
        <v>-954</v>
      </c>
      <c r="G52" s="587">
        <f>IF(R52&gt;0,IF(M52="n",RANK(H52,H$7:H$62,1)-COUNTBLANK(M$7:M$62),""),"")</f>
        <v>9</v>
      </c>
      <c r="H52" s="584">
        <f t="shared" si="3"/>
        <v>46</v>
      </c>
      <c r="I52" s="588" t="str">
        <f>IF(R52&gt;0,IF(O52="j",RANK(J52,J$7:J$62,1)-COUNTBLANK(O$7:O$62),""),"")</f>
        <v/>
      </c>
      <c r="J52" s="589">
        <f t="shared" si="4"/>
        <v>-954</v>
      </c>
      <c r="K52" s="548">
        <f>IF(R52&gt;0,RANK(U52,U$7:U$62,1),"")</f>
        <v>44</v>
      </c>
      <c r="L52" s="590" t="s">
        <v>250</v>
      </c>
      <c r="M52" s="591" t="s">
        <v>234</v>
      </c>
      <c r="N52" s="592"/>
      <c r="O52" s="593"/>
      <c r="P52" s="594"/>
      <c r="Q52" s="595" t="s">
        <v>319</v>
      </c>
      <c r="R52" s="596">
        <f>(IF(COUNT(Z52,AA52,AB52,AC52,AD52,AE52,AF52,AG52,AH52,AI52)&lt;9,SUM(Z52,AA52,AB52,AC52,AD52,AE52,AF52,AG52,AH52,AI52),SUM(LARGE((Z52,AA52,AB52,AC52,AD52,AE52,AF52,AG52,AH52,AI52),{1;2;3;4;5;6;7;8;9}))))</f>
        <v>14</v>
      </c>
      <c r="S52" s="597" t="str">
        <f>INDEX(ETAPP!B$1:B$32,MATCH(COUNTIF(Z52:AI52,PVO!A$1),ETAPP!A$1:A$32,0))&amp;INDEX(ETAPP!B$1:B$32,MATCH(COUNTIF(Z52:AI52,PVO!A$2),ETAPP!A$1:A$32,0))&amp;INDEX(ETAPP!B$1:B$32,MATCH(COUNTIF(Z52:AI52,PVO!A$3),ETAPP!A$1:A$32,0))&amp;INDEX(ETAPP!B$1:B$32,MATCH(COUNTIF(Z52:AI52,PVO!A$4),ETAPP!A$1:A$32,0))&amp;INDEX(ETAPP!B$1:B$32,MATCH(COUNTIF(Z52:AI52,PVO!A$5),ETAPP!A$1:A$32,0))&amp;INDEX(ETAPP!B$1:B$32,MATCH(COUNTIF(Z52:AI52,PVO!A$6),ETAPP!A$1:A$32,0))&amp;INDEX(ETAPP!B$1:B$32,MATCH(COUNTIF(Z52:AI52,PVO!A$7),ETAPP!A$1:A$32,0))&amp;INDEX(ETAPP!B$1:B$32,MATCH(COUNTIF(Z52:AI52,PVO!A$8),ETAPP!A$1:A$32,0))&amp;INDEX(ETAPP!B$1:B$32,MATCH(COUNTIF(Z52:AI52,PVO!A$9),ETAPP!A$1:A$32,0))&amp;INDEX(ETAPP!B$1:B$32,MATCH(COUNTIF(Z52:AI52,PVO!A$10),ETAPP!A$1:A$32,0))&amp;INDEX(ETAPP!B$1:B$32,MATCH(COUNTIF(Z52:AI52,PVO!A$11),ETAPP!A$1:A$32,0))&amp;INDEX(ETAPP!B$1:B$32,MATCH(COUNTIF(Z52:AI52,PVO!A$12),ETAPP!A$1:A$32,0))&amp;INDEX(ETAPP!B$1:B$32,MATCH(COUNTIF(Z52:AI52,PVO!A$13),ETAPP!A$1:A$32,0))&amp;INDEX(ETAPP!B$1:B$32,MATCH(COUNTIF(Z52:AI52,PVO!A$14),ETAPP!A$1:A$32,0))&amp;INDEX(ETAPP!B$1:B$32,MATCH(COUNTIF(Z52:AI52,PVO!A$15),ETAPP!A$1:A$32,0))&amp;INDEX(ETAPP!B$1:B$32,MATCH(COUNTIF(Z52:AI52,PVO!A$16),ETAPP!A$1:A$32,0))&amp;INDEX(ETAPP!B$1:B$32,MATCH(COUNTIF(Z52:AI52,PVO!A$17),ETAPP!A$1:A$32,0))&amp;INDEX(ETAPP!B$1:B$32,MATCH(COUNTIF(Z52:AI52,PVO!A$18),ETAPP!A$1:A$32,0))&amp;INDEX(ETAPP!B$1:B$32,MATCH(COUNTIF(Z52:AI52,PVO!A$19),ETAPP!A$1:A$32,0))</f>
        <v>000000A000000000000</v>
      </c>
      <c r="T52" s="597" t="str">
        <f t="shared" si="5"/>
        <v>014,0-000000A000000000000</v>
      </c>
      <c r="U52" s="597">
        <f>COUNTIF(T$7:T$62,"&gt;="&amp;T52)</f>
        <v>46</v>
      </c>
      <c r="V52" s="597">
        <f>COUNTIF(L$7:L$62,"&gt;="&amp;L52)</f>
        <v>14</v>
      </c>
      <c r="W52" s="597" t="str">
        <f t="shared" si="6"/>
        <v>014,0-000000A000000000000-014</v>
      </c>
      <c r="X52" s="597">
        <f>COUNTIF(W$7:W$62,"&gt;="&amp;W52)</f>
        <v>46</v>
      </c>
      <c r="Y52" s="598">
        <f>RANK(X52,X$7:X$62,0)</f>
        <v>11</v>
      </c>
      <c r="Z52" s="599" t="str">
        <f>IFERROR(INDEX('V1'!C$300:C$400,MATCH("*"&amp;L52&amp;"*",'V1'!B$300:B$400,0)),"  ")</f>
        <v xml:space="preserve">  </v>
      </c>
      <c r="AA52" s="599" t="str">
        <f>IFERROR(INDEX('V2'!C$300:C$400,MATCH("*"&amp;L52&amp;"*",'V2'!B$300:B$400,0)),"  ")</f>
        <v xml:space="preserve">  </v>
      </c>
      <c r="AB52" s="599" t="str">
        <f>IFERROR(INDEX('V3'!C$300:C$400,MATCH("*"&amp;L52&amp;"*",'V3'!B$300:B$400,0)),"  ")</f>
        <v xml:space="preserve">  </v>
      </c>
      <c r="AC52" s="599" t="str">
        <f>IFERROR(INDEX('V4'!C$300:C$400,MATCH("*"&amp;L52&amp;"*",'V4'!B$300:B$400,0)),"  ")</f>
        <v xml:space="preserve">  </v>
      </c>
      <c r="AD52" s="599" t="str">
        <f>IFERROR(INDEX('V5'!C$300:C$400,MATCH("*"&amp;L52&amp;"*",'V5'!B$300:B$400,0)),"  ")</f>
        <v xml:space="preserve">  </v>
      </c>
      <c r="AE52" s="599" t="str">
        <f>IFERROR(INDEX('V6'!C$300:C$400,MATCH("*"&amp;L52&amp;"*",'V6'!B$300:B$400,0)),"  ")</f>
        <v xml:space="preserve">  </v>
      </c>
      <c r="AF52" s="599" t="str">
        <f>IFERROR(INDEX('V7'!C$300:C$400,MATCH("*"&amp;L52&amp;"*",'V7'!B$300:B$400,0)),"  ")</f>
        <v xml:space="preserve">  </v>
      </c>
      <c r="AG52" s="599">
        <f>IFERROR(INDEX('V8'!C$300:C$400,MATCH("*"&amp;L52&amp;"*",'V8'!B$300:B$400,0)),"  ")</f>
        <v>14</v>
      </c>
      <c r="AH52" s="599" t="str">
        <f>IFERROR(INDEX('V9'!C$300:C$400,MATCH("*"&amp;L52&amp;"*",'V9'!B$300:B$400,0)),"  ")</f>
        <v xml:space="preserve">  </v>
      </c>
      <c r="AI52" s="599" t="str">
        <f>IFERROR(INDEX('V10'!C$300:C$400,MATCH("*"&amp;L52&amp;"*",'V10'!B$300:B$400,0)),"  ")</f>
        <v xml:space="preserve">  </v>
      </c>
      <c r="AJ52" s="600">
        <f t="shared" si="7"/>
        <v>0</v>
      </c>
      <c r="AK52" s="600" t="str">
        <f t="shared" si="8"/>
        <v/>
      </c>
      <c r="AL52" s="601">
        <f>IFERROR("edasi "&amp;RANK(AK52,AK$7:AK$62,0),K52)</f>
        <v>44</v>
      </c>
      <c r="AM52" s="602" t="str">
        <f>IFERROR(INDEX('V-fin'!A$300:A$400,MATCH("*"&amp;L52&amp;"*",'V-fin'!B$300:B$400,0)),"  ")</f>
        <v xml:space="preserve">  </v>
      </c>
      <c r="AN52" s="603">
        <f t="shared" si="9"/>
        <v>1</v>
      </c>
      <c r="AO52" s="604">
        <f>IFERROR(IF(Z52+1&gt;LARGE(Z$7:Z$62,1)-2,1),0)+IFERROR(IF(AA52+1&gt;LARGE(AA$7:AA$62,1)-2,1),0)+IFERROR(IF(AB52+1&gt;LARGE(AB$7:AB$62,1)-2,1),0)+IFERROR(IF(AC52+1&gt;LARGE(AC$7:AC$62,1)-2,1),0)+IFERROR(IF(AD52+1&gt;LARGE(AD$7:AD$62,1)-2,1),0)+IFERROR(IF(AE52+1&gt;LARGE(AE$7:AE$62,1)-2,1),0)+IFERROR(IF(AF52+1&gt;LARGE(AF$7:AF$62,1)-2,1),0)+IFERROR(IF(AG52+1&gt;LARGE(AG$7:AG$62,1)-2,1),0)+IFERROR(IF(AH52+1&gt;LARGE(AH$7:AH$62,1)-2,1),0)+IFERROR(IF(AI52+1&gt;LARGE(AI$7:AI$62,1)-2,1),0)</f>
        <v>0</v>
      </c>
      <c r="AP52" s="604">
        <f>IF(Z52=0,0,IF(Z52=IFERROR(LARGE(Z$7:Z$62,1),0),1,0))+IF(AA52=0,0,IF(AA52=IFERROR(LARGE(AA$7:AA$62,1),0),1,0))+IF(AB52=0,0,IF(AB52=IFERROR(LARGE(AB$7:AB$62,1),0),1,0))+IF(AC52=0,0,IF(AC52=IFERROR(LARGE(AC$7:AC$62,1),0),1,0))+IF(AD52=0,0,IF(AD52=IFERROR(LARGE(AD$7:AD$62,1),0),1,0))+IF(AE52=0,0,IF(AE52=IFERROR(LARGE(AE$7:AE$62,1),0),1,0))+IF(AF52=0,0,IF(AF52=IFERROR(LARGE(AF$7:AF$62,1),0),1,0))+IF(AG52=0,0,IF(AG52=IFERROR(LARGE(AG$7:AG$62,1),0),1,0))+IF(AH52=0,0,IF(AH52=IFERROR(LARGE(AH$7:AH$62,1),0),1,0))+IF(AI52=0,0,IF(AI52=IFERROR(LARGE(AI$7:AI$62,1),0),1,0))</f>
        <v>0</v>
      </c>
      <c r="AQ52" s="512"/>
      <c r="AR52" s="605"/>
      <c r="AS52" s="606"/>
      <c r="AT52" s="606"/>
      <c r="AU52" s="606"/>
      <c r="AV52" s="606"/>
      <c r="AW52" s="605">
        <f t="shared" si="10"/>
        <v>1E-4</v>
      </c>
      <c r="AX52" s="606">
        <f t="shared" si="15"/>
        <v>1E-4</v>
      </c>
      <c r="AY52" s="606">
        <f t="shared" si="15"/>
        <v>2.0000000000000001E-4</v>
      </c>
      <c r="AZ52" s="606">
        <f t="shared" si="15"/>
        <v>2.9999999999999997E-4</v>
      </c>
      <c r="BA52" s="606">
        <f t="shared" si="15"/>
        <v>4.0000000000000002E-4</v>
      </c>
      <c r="BB52" s="606">
        <f t="shared" si="15"/>
        <v>5.0000000000000001E-4</v>
      </c>
      <c r="BC52" s="606">
        <f t="shared" si="14"/>
        <v>5.9999999999999995E-4</v>
      </c>
      <c r="BD52" s="606">
        <f t="shared" si="14"/>
        <v>6.9999999999999999E-4</v>
      </c>
      <c r="BE52" s="606">
        <f t="shared" si="14"/>
        <v>14.0008</v>
      </c>
      <c r="BF52" s="606">
        <f t="shared" si="14"/>
        <v>8.9999999999999998E-4</v>
      </c>
      <c r="BG52" s="606">
        <f t="shared" si="14"/>
        <v>1E-3</v>
      </c>
    </row>
    <row r="53" spans="1:59" x14ac:dyDescent="0.2">
      <c r="A53" s="583">
        <f>IF(R53&gt;0,IF(Q53="v",RANK(B53,B$7:B$62,1)-COUNTBLANK(Q$7:Q$62),""),"")</f>
        <v>28</v>
      </c>
      <c r="B53" s="584">
        <f t="shared" si="0"/>
        <v>47</v>
      </c>
      <c r="C53" s="585">
        <f>IF(R53&gt;0,IF(P53="k",RANK(D53,D$7:D$62,1)-COUNTBLANK(P$7:P$62),""),"")</f>
        <v>13</v>
      </c>
      <c r="D53" s="584">
        <f t="shared" si="1"/>
        <v>47</v>
      </c>
      <c r="E53" s="586" t="str">
        <f>IF(R53&gt;0,IF(N53="m",RANK(F53,F$7:F$62,1)-COUNTBLANK(N$7:N$62),""),"")</f>
        <v/>
      </c>
      <c r="F53" s="584">
        <f t="shared" si="2"/>
        <v>-953</v>
      </c>
      <c r="G53" s="587">
        <f>IF(R53&gt;0,IF(M53="n",RANK(H53,H$7:H$62,1)-COUNTBLANK(M$7:M$62),""),"")</f>
        <v>10</v>
      </c>
      <c r="H53" s="584">
        <f t="shared" si="3"/>
        <v>47</v>
      </c>
      <c r="I53" s="588" t="str">
        <f>IF(R53&gt;0,IF(O53="j",RANK(J53,J$7:J$62,1)-COUNTBLANK(O$7:O$62),""),"")</f>
        <v/>
      </c>
      <c r="J53" s="589">
        <f t="shared" si="4"/>
        <v>-953</v>
      </c>
      <c r="K53" s="548">
        <f>IF(R53&gt;0,RANK(U53,U$7:U$62,1),"")</f>
        <v>47</v>
      </c>
      <c r="L53" s="609" t="s">
        <v>281</v>
      </c>
      <c r="M53" s="591" t="s">
        <v>234</v>
      </c>
      <c r="N53" s="592" t="str">
        <f>IF(M53="","m","")</f>
        <v/>
      </c>
      <c r="O53" s="593"/>
      <c r="P53" s="594" t="s">
        <v>320</v>
      </c>
      <c r="Q53" s="595" t="s">
        <v>319</v>
      </c>
      <c r="R53" s="596">
        <f>(IF(COUNT(Z53,AA53,AB53,AC53,AD53,AE53,AF53,AG53,AH53,AI53)&lt;9,SUM(Z53,AA53,AB53,AC53,AD53,AE53,AF53,AG53,AH53,AI53),SUM(LARGE((Z53,AA53,AB53,AC53,AD53,AE53,AF53,AG53,AH53,AI53),{1;2;3;4;5;6;7;8;9}))))</f>
        <v>12</v>
      </c>
      <c r="S53" s="597" t="str">
        <f>INDEX(ETAPP!B$1:B$32,MATCH(COUNTIF(Z53:AI53,PVO!A$1),ETAPP!A$1:A$32,0))&amp;INDEX(ETAPP!B$1:B$32,MATCH(COUNTIF(Z53:AI53,PVO!A$2),ETAPP!A$1:A$32,0))&amp;INDEX(ETAPP!B$1:B$32,MATCH(COUNTIF(Z53:AI53,PVO!A$3),ETAPP!A$1:A$32,0))&amp;INDEX(ETAPP!B$1:B$32,MATCH(COUNTIF(Z53:AI53,PVO!A$4),ETAPP!A$1:A$32,0))&amp;INDEX(ETAPP!B$1:B$32,MATCH(COUNTIF(Z53:AI53,PVO!A$5),ETAPP!A$1:A$32,0))&amp;INDEX(ETAPP!B$1:B$32,MATCH(COUNTIF(Z53:AI53,PVO!A$6),ETAPP!A$1:A$32,0))&amp;INDEX(ETAPP!B$1:B$32,MATCH(COUNTIF(Z53:AI53,PVO!A$7),ETAPP!A$1:A$32,0))&amp;INDEX(ETAPP!B$1:B$32,MATCH(COUNTIF(Z53:AI53,PVO!A$8),ETAPP!A$1:A$32,0))&amp;INDEX(ETAPP!B$1:B$32,MATCH(COUNTIF(Z53:AI53,PVO!A$9),ETAPP!A$1:A$32,0))&amp;INDEX(ETAPP!B$1:B$32,MATCH(COUNTIF(Z53:AI53,PVO!A$10),ETAPP!A$1:A$32,0))&amp;INDEX(ETAPP!B$1:B$32,MATCH(COUNTIF(Z53:AI53,PVO!A$11),ETAPP!A$1:A$32,0))&amp;INDEX(ETAPP!B$1:B$32,MATCH(COUNTIF(Z53:AI53,PVO!A$12),ETAPP!A$1:A$32,0))&amp;INDEX(ETAPP!B$1:B$32,MATCH(COUNTIF(Z53:AI53,PVO!A$13),ETAPP!A$1:A$32,0))&amp;INDEX(ETAPP!B$1:B$32,MATCH(COUNTIF(Z53:AI53,PVO!A$14),ETAPP!A$1:A$32,0))&amp;INDEX(ETAPP!B$1:B$32,MATCH(COUNTIF(Z53:AI53,PVO!A$15),ETAPP!A$1:A$32,0))&amp;INDEX(ETAPP!B$1:B$32,MATCH(COUNTIF(Z53:AI53,PVO!A$16),ETAPP!A$1:A$32,0))&amp;INDEX(ETAPP!B$1:B$32,MATCH(COUNTIF(Z53:AI53,PVO!A$17),ETAPP!A$1:A$32,0))&amp;INDEX(ETAPP!B$1:B$32,MATCH(COUNTIF(Z53:AI53,PVO!A$18),ETAPP!A$1:A$32,0))&amp;INDEX(ETAPP!B$1:B$32,MATCH(COUNTIF(Z53:AI53,PVO!A$19),ETAPP!A$1:A$32,0))</f>
        <v>00000000A0000000000</v>
      </c>
      <c r="T53" s="597" t="str">
        <f t="shared" si="5"/>
        <v>012,0-00000000A0000000000</v>
      </c>
      <c r="U53" s="597">
        <f>COUNTIF(T$7:T$62,"&gt;="&amp;T53)</f>
        <v>47</v>
      </c>
      <c r="V53" s="597">
        <f>COUNTIF(L$7:L$62,"&gt;="&amp;L53)</f>
        <v>22</v>
      </c>
      <c r="W53" s="597" t="str">
        <f t="shared" si="6"/>
        <v>012,0-00000000A0000000000-022</v>
      </c>
      <c r="X53" s="597">
        <f>COUNTIF(W$7:W$62,"&gt;="&amp;W53)</f>
        <v>47</v>
      </c>
      <c r="Y53" s="598">
        <f>RANK(X53,X$7:X$62,0)</f>
        <v>10</v>
      </c>
      <c r="Z53" s="599" t="str">
        <f>IFERROR(INDEX('V1'!C$300:C$400,MATCH("*"&amp;L53&amp;"*",'V1'!B$300:B$400,0)),"  ")</f>
        <v xml:space="preserve">  </v>
      </c>
      <c r="AA53" s="599" t="str">
        <f>IFERROR(INDEX('V2'!C$300:C$400,MATCH("*"&amp;L53&amp;"*",'V2'!B$300:B$400,0)),"  ")</f>
        <v xml:space="preserve">  </v>
      </c>
      <c r="AB53" s="599" t="str">
        <f>IFERROR(INDEX('V3'!C$300:C$400,MATCH("*"&amp;L53&amp;"*",'V3'!B$300:B$400,0)),"  ")</f>
        <v xml:space="preserve">  </v>
      </c>
      <c r="AC53" s="599" t="str">
        <f>IFERROR(INDEX('V4'!C$300:C$400,MATCH("*"&amp;L53&amp;"*",'V4'!B$300:B$400,0)),"  ")</f>
        <v xml:space="preserve">  </v>
      </c>
      <c r="AD53" s="599">
        <f>IFERROR(INDEX('V5'!C$300:C$400,MATCH("*"&amp;L53&amp;"*",'V5'!B$300:B$400,0)),"  ")</f>
        <v>12</v>
      </c>
      <c r="AE53" s="599" t="str">
        <f>IFERROR(INDEX('V6'!C$300:C$400,MATCH("*"&amp;L53&amp;"*",'V6'!B$300:B$400,0)),"  ")</f>
        <v xml:space="preserve">  </v>
      </c>
      <c r="AF53" s="599" t="str">
        <f>IFERROR(INDEX('V7'!C$300:C$400,MATCH("*"&amp;L53&amp;"*",'V7'!B$300:B$400,0)),"  ")</f>
        <v xml:space="preserve">  </v>
      </c>
      <c r="AG53" s="599" t="str">
        <f>IFERROR(INDEX('V8'!C$300:C$400,MATCH("*"&amp;L53&amp;"*",'V8'!B$300:B$400,0)),"  ")</f>
        <v xml:space="preserve">  </v>
      </c>
      <c r="AH53" s="599" t="str">
        <f>IFERROR(INDEX('V9'!C$300:C$400,MATCH("*"&amp;L53&amp;"*",'V9'!B$300:B$400,0)),"  ")</f>
        <v xml:space="preserve">  </v>
      </c>
      <c r="AI53" s="599" t="str">
        <f>IFERROR(INDEX('V10'!C$300:C$400,MATCH("*"&amp;L53&amp;"*",'V10'!B$300:B$400,0)),"  ")</f>
        <v xml:space="preserve">  </v>
      </c>
      <c r="AJ53" s="600">
        <f t="shared" si="7"/>
        <v>0</v>
      </c>
      <c r="AK53" s="600" t="str">
        <f t="shared" si="8"/>
        <v/>
      </c>
      <c r="AL53" s="601">
        <f>IFERROR("edasi "&amp;RANK(AK53,AK$7:AK$62,0),K53)</f>
        <v>47</v>
      </c>
      <c r="AM53" s="602" t="str">
        <f>IFERROR(INDEX('V-fin'!A$300:A$400,MATCH("*"&amp;L53&amp;"*",'V-fin'!B$300:B$400,0)),"  ")</f>
        <v xml:space="preserve">  </v>
      </c>
      <c r="AN53" s="603">
        <f t="shared" si="9"/>
        <v>1</v>
      </c>
      <c r="AO53" s="604">
        <f>IFERROR(IF(Z53+1&gt;LARGE(Z$7:Z$62,1)-2,1),0)+IFERROR(IF(AA53+1&gt;LARGE(AA$7:AA$62,1)-2,1),0)+IFERROR(IF(AB53+1&gt;LARGE(AB$7:AB$62,1)-2,1),0)+IFERROR(IF(AC53+1&gt;LARGE(AC$7:AC$62,1)-2,1),0)+IFERROR(IF(AD53+1&gt;LARGE(AD$7:AD$62,1)-2,1),0)+IFERROR(IF(AE53+1&gt;LARGE(AE$7:AE$62,1)-2,1),0)+IFERROR(IF(AF53+1&gt;LARGE(AF$7:AF$62,1)-2,1),0)+IFERROR(IF(AG53+1&gt;LARGE(AG$7:AG$62,1)-2,1),0)+IFERROR(IF(AH53+1&gt;LARGE(AH$7:AH$62,1)-2,1),0)+IFERROR(IF(AI53+1&gt;LARGE(AI$7:AI$62,1)-2,1),0)</f>
        <v>0</v>
      </c>
      <c r="AP53" s="604">
        <f>IF(Z53=0,0,IF(Z53=IFERROR(LARGE(Z$7:Z$62,1),0),1,0))+IF(AA53=0,0,IF(AA53=IFERROR(LARGE(AA$7:AA$62,1),0),1,0))+IF(AB53=0,0,IF(AB53=IFERROR(LARGE(AB$7:AB$62,1),0),1,0))+IF(AC53=0,0,IF(AC53=IFERROR(LARGE(AC$7:AC$62,1),0),1,0))+IF(AD53=0,0,IF(AD53=IFERROR(LARGE(AD$7:AD$62,1),0),1,0))+IF(AE53=0,0,IF(AE53=IFERROR(LARGE(AE$7:AE$62,1),0),1,0))+IF(AF53=0,0,IF(AF53=IFERROR(LARGE(AF$7:AF$62,1),0),1,0))+IF(AG53=0,0,IF(AG53=IFERROR(LARGE(AG$7:AG$62,1),0),1,0))+IF(AH53=0,0,IF(AH53=IFERROR(LARGE(AH$7:AH$62,1),0),1,0))+IF(AI53=0,0,IF(AI53=IFERROR(LARGE(AI$7:AI$62,1),0),1,0))</f>
        <v>0</v>
      </c>
      <c r="AQ53" s="512"/>
      <c r="AR53" s="605"/>
      <c r="AS53" s="606"/>
      <c r="AT53" s="606"/>
      <c r="AU53" s="606"/>
      <c r="AV53" s="606"/>
      <c r="AW53" s="605">
        <f t="shared" si="10"/>
        <v>1E-4</v>
      </c>
      <c r="AX53" s="606">
        <f t="shared" si="15"/>
        <v>1E-4</v>
      </c>
      <c r="AY53" s="606">
        <f t="shared" si="15"/>
        <v>2.0000000000000001E-4</v>
      </c>
      <c r="AZ53" s="606">
        <f t="shared" si="15"/>
        <v>2.9999999999999997E-4</v>
      </c>
      <c r="BA53" s="606">
        <f t="shared" si="15"/>
        <v>4.0000000000000002E-4</v>
      </c>
      <c r="BB53" s="606">
        <f t="shared" si="15"/>
        <v>12.000500000000001</v>
      </c>
      <c r="BC53" s="606">
        <f t="shared" si="14"/>
        <v>5.9999999999999995E-4</v>
      </c>
      <c r="BD53" s="606">
        <f t="shared" si="14"/>
        <v>6.9999999999999999E-4</v>
      </c>
      <c r="BE53" s="606">
        <f t="shared" si="14"/>
        <v>8.0000000000000004E-4</v>
      </c>
      <c r="BF53" s="606">
        <f t="shared" si="14"/>
        <v>8.9999999999999998E-4</v>
      </c>
      <c r="BG53" s="606">
        <f t="shared" si="14"/>
        <v>1E-3</v>
      </c>
    </row>
    <row r="54" spans="1:59" x14ac:dyDescent="0.2">
      <c r="A54" s="583" t="str">
        <f>IF(R54&gt;0,IF(Q54="v",RANK(B54,B$7:B$62,1)-COUNTBLANK(Q$7:Q$62),""),"")</f>
        <v/>
      </c>
      <c r="B54" s="584">
        <f t="shared" si="0"/>
        <v>-951</v>
      </c>
      <c r="C54" s="585" t="str">
        <f>IF(R54&gt;0,IF(P54="k",RANK(D54,D$7:D$62,1)-COUNTBLANK(P$7:P$62),""),"")</f>
        <v/>
      </c>
      <c r="D54" s="584">
        <f t="shared" si="1"/>
        <v>-951</v>
      </c>
      <c r="E54" s="586">
        <f>IF(R54&gt;0,IF(N54="m",RANK(F54,F$7:F$62,1)-COUNTBLANK(N$7:N$62),""),"")</f>
        <v>38</v>
      </c>
      <c r="F54" s="584">
        <f t="shared" si="2"/>
        <v>49</v>
      </c>
      <c r="G54" s="587" t="str">
        <f>IF(R54&gt;0,IF(M54="n",RANK(H54,H$7:H$62,1)-COUNTBLANK(M$7:M$62),""),"")</f>
        <v/>
      </c>
      <c r="H54" s="584">
        <f t="shared" si="3"/>
        <v>-951</v>
      </c>
      <c r="I54" s="588" t="str">
        <f>IF(R54&gt;0,IF(O54="j",RANK(J54,J$7:J$62,1)-COUNTBLANK(O$7:O$62),""),"")</f>
        <v/>
      </c>
      <c r="J54" s="589">
        <f t="shared" si="4"/>
        <v>-951</v>
      </c>
      <c r="K54" s="548">
        <f>IF(R54&gt;0,RANK(U54,U$7:U$62,1),"")</f>
        <v>48</v>
      </c>
      <c r="L54" s="590" t="s">
        <v>277</v>
      </c>
      <c r="M54" s="591"/>
      <c r="N54" s="592" t="s">
        <v>321</v>
      </c>
      <c r="O54" s="593"/>
      <c r="P54" s="594"/>
      <c r="Q54" s="595"/>
      <c r="R54" s="596">
        <f>(IF(COUNT(Z54,AA54,AB54,AC54,AD54,AE54,AF54,AG54,AH54,AI54)&lt;9,SUM(Z54,AA54,AB54,AC54,AD54,AE54,AF54,AG54,AH54,AI54),SUM(LARGE((Z54,AA54,AB54,AC54,AD54,AE54,AF54,AG54,AH54,AI54),{1;2;3;4;5;6;7;8;9}))))</f>
        <v>11</v>
      </c>
      <c r="S54" s="597" t="str">
        <f>INDEX(ETAPP!B$1:B$32,MATCH(COUNTIF(Z54:AI54,PVO!A$1),ETAPP!A$1:A$32,0))&amp;INDEX(ETAPP!B$1:B$32,MATCH(COUNTIF(Z54:AI54,PVO!A$2),ETAPP!A$1:A$32,0))&amp;INDEX(ETAPP!B$1:B$32,MATCH(COUNTIF(Z54:AI54,PVO!A$3),ETAPP!A$1:A$32,0))&amp;INDEX(ETAPP!B$1:B$32,MATCH(COUNTIF(Z54:AI54,PVO!A$4),ETAPP!A$1:A$32,0))&amp;INDEX(ETAPP!B$1:B$32,MATCH(COUNTIF(Z54:AI54,PVO!A$5),ETAPP!A$1:A$32,0))&amp;INDEX(ETAPP!B$1:B$32,MATCH(COUNTIF(Z54:AI54,PVO!A$6),ETAPP!A$1:A$32,0))&amp;INDEX(ETAPP!B$1:B$32,MATCH(COUNTIF(Z54:AI54,PVO!A$7),ETAPP!A$1:A$32,0))&amp;INDEX(ETAPP!B$1:B$32,MATCH(COUNTIF(Z54:AI54,PVO!A$8),ETAPP!A$1:A$32,0))&amp;INDEX(ETAPP!B$1:B$32,MATCH(COUNTIF(Z54:AI54,PVO!A$9),ETAPP!A$1:A$32,0))&amp;INDEX(ETAPP!B$1:B$32,MATCH(COUNTIF(Z54:AI54,PVO!A$10),ETAPP!A$1:A$32,0))&amp;INDEX(ETAPP!B$1:B$32,MATCH(COUNTIF(Z54:AI54,PVO!A$11),ETAPP!A$1:A$32,0))&amp;INDEX(ETAPP!B$1:B$32,MATCH(COUNTIF(Z54:AI54,PVO!A$12),ETAPP!A$1:A$32,0))&amp;INDEX(ETAPP!B$1:B$32,MATCH(COUNTIF(Z54:AI54,PVO!A$13),ETAPP!A$1:A$32,0))&amp;INDEX(ETAPP!B$1:B$32,MATCH(COUNTIF(Z54:AI54,PVO!A$14),ETAPP!A$1:A$32,0))&amp;INDEX(ETAPP!B$1:B$32,MATCH(COUNTIF(Z54:AI54,PVO!A$15),ETAPP!A$1:A$32,0))&amp;INDEX(ETAPP!B$1:B$32,MATCH(COUNTIF(Z54:AI54,PVO!A$16),ETAPP!A$1:A$32,0))&amp;INDEX(ETAPP!B$1:B$32,MATCH(COUNTIF(Z54:AI54,PVO!A$17),ETAPP!A$1:A$32,0))&amp;INDEX(ETAPP!B$1:B$32,MATCH(COUNTIF(Z54:AI54,PVO!A$18),ETAPP!A$1:A$32,0))&amp;INDEX(ETAPP!B$1:B$32,MATCH(COUNTIF(Z54:AI54,PVO!A$19),ETAPP!A$1:A$32,0))</f>
        <v>000000000A000000000</v>
      </c>
      <c r="T54" s="597" t="str">
        <f t="shared" si="5"/>
        <v>011,0-000000000A000000000</v>
      </c>
      <c r="U54" s="597">
        <f>COUNTIF(T$7:T$62,"&gt;="&amp;T54)</f>
        <v>49</v>
      </c>
      <c r="V54" s="597">
        <f>COUNTIF(L$7:L$62,"&gt;="&amp;L54)</f>
        <v>50</v>
      </c>
      <c r="W54" s="597" t="str">
        <f t="shared" si="6"/>
        <v>011,0-000000000A000000000-050</v>
      </c>
      <c r="X54" s="597">
        <f>COUNTIF(W$7:W$62,"&gt;="&amp;W54)</f>
        <v>48</v>
      </c>
      <c r="Y54" s="598">
        <f>RANK(X54,X$7:X$62,0)</f>
        <v>9</v>
      </c>
      <c r="Z54" s="599" t="str">
        <f>IFERROR(INDEX('V1'!C$300:C$400,MATCH("*"&amp;L54&amp;"*",'V1'!B$300:B$400,0)),"  ")</f>
        <v xml:space="preserve">  </v>
      </c>
      <c r="AA54" s="599" t="str">
        <f>IFERROR(INDEX('V2'!C$300:C$400,MATCH("*"&amp;L54&amp;"*",'V2'!B$300:B$400,0)),"  ")</f>
        <v xml:space="preserve">  </v>
      </c>
      <c r="AB54" s="599" t="str">
        <f>IFERROR(INDEX('V3'!C$300:C$400,MATCH("*"&amp;L54&amp;"*",'V3'!B$300:B$400,0)),"  ")</f>
        <v xml:space="preserve">  </v>
      </c>
      <c r="AC54" s="599" t="str">
        <f>IFERROR(INDEX('V4'!C$300:C$400,MATCH("*"&amp;L54&amp;"*",'V4'!B$300:B$400,0)),"  ")</f>
        <v xml:space="preserve">  </v>
      </c>
      <c r="AD54" s="599">
        <f>IFERROR(INDEX('V5'!C$300:C$400,MATCH("*"&amp;L54&amp;"*",'V5'!B$300:B$400,0)),"  ")</f>
        <v>11</v>
      </c>
      <c r="AE54" s="599" t="str">
        <f>IFERROR(INDEX('V6'!C$300:C$400,MATCH("*"&amp;L54&amp;"*",'V6'!B$300:B$400,0)),"  ")</f>
        <v xml:space="preserve">  </v>
      </c>
      <c r="AF54" s="599" t="str">
        <f>IFERROR(INDEX('V7'!C$300:C$400,MATCH("*"&amp;L54&amp;"*",'V7'!B$300:B$400,0)),"  ")</f>
        <v xml:space="preserve">  </v>
      </c>
      <c r="AG54" s="599" t="str">
        <f>IFERROR(INDEX('V8'!C$300:C$400,MATCH("*"&amp;L54&amp;"*",'V8'!B$300:B$400,0)),"  ")</f>
        <v xml:space="preserve">  </v>
      </c>
      <c r="AH54" s="599" t="str">
        <f>IFERROR(INDEX('V9'!C$300:C$400,MATCH("*"&amp;L54&amp;"*",'V9'!B$300:B$400,0)),"  ")</f>
        <v xml:space="preserve">  </v>
      </c>
      <c r="AI54" s="599" t="str">
        <f>IFERROR(INDEX('V10'!C$300:C$400,MATCH("*"&amp;L54&amp;"*",'V10'!B$300:B$400,0)),"  ")</f>
        <v xml:space="preserve">  </v>
      </c>
      <c r="AJ54" s="600">
        <f t="shared" si="7"/>
        <v>0</v>
      </c>
      <c r="AK54" s="600" t="str">
        <f t="shared" si="8"/>
        <v/>
      </c>
      <c r="AL54" s="601">
        <f>IFERROR("edasi "&amp;RANK(AK54,AK$7:AK$62,0),K54)</f>
        <v>48</v>
      </c>
      <c r="AM54" s="602" t="str">
        <f>IFERROR(INDEX('V-fin'!A$300:A$400,MATCH("*"&amp;L54&amp;"*",'V-fin'!B$300:B$400,0)),"  ")</f>
        <v xml:space="preserve">  </v>
      </c>
      <c r="AN54" s="603">
        <f t="shared" si="9"/>
        <v>1</v>
      </c>
      <c r="AO54" s="604">
        <f>IFERROR(IF(Z54+1&gt;LARGE(Z$7:Z$62,1)-2,1),0)+IFERROR(IF(AA54+1&gt;LARGE(AA$7:AA$62,1)-2,1),0)+IFERROR(IF(AB54+1&gt;LARGE(AB$7:AB$62,1)-2,1),0)+IFERROR(IF(AC54+1&gt;LARGE(AC$7:AC$62,1)-2,1),0)+IFERROR(IF(AD54+1&gt;LARGE(AD$7:AD$62,1)-2,1),0)+IFERROR(IF(AE54+1&gt;LARGE(AE$7:AE$62,1)-2,1),0)+IFERROR(IF(AF54+1&gt;LARGE(AF$7:AF$62,1)-2,1),0)+IFERROR(IF(AG54+1&gt;LARGE(AG$7:AG$62,1)-2,1),0)+IFERROR(IF(AH54+1&gt;LARGE(AH$7:AH$62,1)-2,1),0)+IFERROR(IF(AI54+1&gt;LARGE(AI$7:AI$62,1)-2,1),0)</f>
        <v>0</v>
      </c>
      <c r="AP54" s="604">
        <f>IF(Z54=0,0,IF(Z54=IFERROR(LARGE(Z$7:Z$62,1),0),1,0))+IF(AA54=0,0,IF(AA54=IFERROR(LARGE(AA$7:AA$62,1),0),1,0))+IF(AB54=0,0,IF(AB54=IFERROR(LARGE(AB$7:AB$62,1),0),1,0))+IF(AC54=0,0,IF(AC54=IFERROR(LARGE(AC$7:AC$62,1),0),1,0))+IF(AD54=0,0,IF(AD54=IFERROR(LARGE(AD$7:AD$62,1),0),1,0))+IF(AE54=0,0,IF(AE54=IFERROR(LARGE(AE$7:AE$62,1),0),1,0))+IF(AF54=0,0,IF(AF54=IFERROR(LARGE(AF$7:AF$62,1),0),1,0))+IF(AG54=0,0,IF(AG54=IFERROR(LARGE(AG$7:AG$62,1),0),1,0))+IF(AH54=0,0,IF(AH54=IFERROR(LARGE(AH$7:AH$62,1),0),1,0))+IF(AI54=0,0,IF(AI54=IFERROR(LARGE(AI$7:AI$62,1),0),1,0))</f>
        <v>0</v>
      </c>
      <c r="AQ54" s="512"/>
      <c r="AR54" s="605"/>
      <c r="AS54" s="606"/>
      <c r="AT54" s="606"/>
      <c r="AU54" s="606"/>
      <c r="AV54" s="606"/>
      <c r="AW54" s="605">
        <f t="shared" si="10"/>
        <v>1E-4</v>
      </c>
      <c r="AX54" s="606">
        <f t="shared" si="15"/>
        <v>1E-4</v>
      </c>
      <c r="AY54" s="606">
        <f t="shared" si="15"/>
        <v>2.0000000000000001E-4</v>
      </c>
      <c r="AZ54" s="606">
        <f t="shared" si="15"/>
        <v>2.9999999999999997E-4</v>
      </c>
      <c r="BA54" s="606">
        <f t="shared" si="15"/>
        <v>4.0000000000000002E-4</v>
      </c>
      <c r="BB54" s="606">
        <f t="shared" si="15"/>
        <v>11.000500000000001</v>
      </c>
      <c r="BC54" s="606">
        <f t="shared" si="14"/>
        <v>5.9999999999999995E-4</v>
      </c>
      <c r="BD54" s="606">
        <f t="shared" si="14"/>
        <v>6.9999999999999999E-4</v>
      </c>
      <c r="BE54" s="606">
        <f t="shared" si="14"/>
        <v>8.0000000000000004E-4</v>
      </c>
      <c r="BF54" s="606">
        <f t="shared" si="14"/>
        <v>8.9999999999999998E-4</v>
      </c>
      <c r="BG54" s="606">
        <f t="shared" si="14"/>
        <v>1E-3</v>
      </c>
    </row>
    <row r="55" spans="1:59" x14ac:dyDescent="0.2">
      <c r="A55" s="583" t="str">
        <f>IF(R55&gt;0,IF(Q55="v",RANK(B55,B$7:B$62,1)-COUNTBLANK(Q$7:Q$62),""),"")</f>
        <v/>
      </c>
      <c r="B55" s="584">
        <f t="shared" si="0"/>
        <v>-951</v>
      </c>
      <c r="C55" s="585" t="str">
        <f>IF(R55&gt;0,IF(P55="k",RANK(D55,D$7:D$62,1)-COUNTBLANK(P$7:P$62),""),"")</f>
        <v/>
      </c>
      <c r="D55" s="584">
        <f t="shared" si="1"/>
        <v>-951</v>
      </c>
      <c r="E55" s="586">
        <f>IF(R55&gt;0,IF(N55="m",RANK(F55,F$7:F$62,1)-COUNTBLANK(N$7:N$62),""),"")</f>
        <v>38</v>
      </c>
      <c r="F55" s="584">
        <f t="shared" si="2"/>
        <v>49</v>
      </c>
      <c r="G55" s="587" t="str">
        <f>IF(R55&gt;0,IF(M55="n",RANK(H55,H$7:H$62,1)-COUNTBLANK(M$7:M$62),""),"")</f>
        <v/>
      </c>
      <c r="H55" s="584">
        <f t="shared" si="3"/>
        <v>-951</v>
      </c>
      <c r="I55" s="588" t="str">
        <f>IF(R55&gt;0,IF(O55="j",RANK(J55,J$7:J$62,1)-COUNTBLANK(O$7:O$62),""),"")</f>
        <v/>
      </c>
      <c r="J55" s="589">
        <f t="shared" si="4"/>
        <v>-951</v>
      </c>
      <c r="K55" s="548">
        <f>IF(R55&gt;0,RANK(U55,U$7:U$62,1),"")</f>
        <v>48</v>
      </c>
      <c r="L55" s="590" t="s">
        <v>267</v>
      </c>
      <c r="M55" s="591"/>
      <c r="N55" s="592" t="s">
        <v>321</v>
      </c>
      <c r="O55" s="593"/>
      <c r="P55" s="594"/>
      <c r="Q55" s="595"/>
      <c r="R55" s="596">
        <f>(IF(COUNT(Z55,AA55,AB55,AC55,AD55,AE55,AF55,AG55,AH55,AI55)&lt;9,SUM(Z55,AA55,AB55,AC55,AD55,AE55,AF55,AG55,AH55,AI55),SUM(LARGE((Z55,AA55,AB55,AC55,AD55,AE55,AF55,AG55,AH55,AI55),{1;2;3;4;5;6;7;8;9}))))</f>
        <v>11</v>
      </c>
      <c r="S55" s="597" t="str">
        <f>INDEX(ETAPP!B$1:B$32,MATCH(COUNTIF(Z55:AI55,PVO!A$1),ETAPP!A$1:A$32,0))&amp;INDEX(ETAPP!B$1:B$32,MATCH(COUNTIF(Z55:AI55,PVO!A$2),ETAPP!A$1:A$32,0))&amp;INDEX(ETAPP!B$1:B$32,MATCH(COUNTIF(Z55:AI55,PVO!A$3),ETAPP!A$1:A$32,0))&amp;INDEX(ETAPP!B$1:B$32,MATCH(COUNTIF(Z55:AI55,PVO!A$4),ETAPP!A$1:A$32,0))&amp;INDEX(ETAPP!B$1:B$32,MATCH(COUNTIF(Z55:AI55,PVO!A$5),ETAPP!A$1:A$32,0))&amp;INDEX(ETAPP!B$1:B$32,MATCH(COUNTIF(Z55:AI55,PVO!A$6),ETAPP!A$1:A$32,0))&amp;INDEX(ETAPP!B$1:B$32,MATCH(COUNTIF(Z55:AI55,PVO!A$7),ETAPP!A$1:A$32,0))&amp;INDEX(ETAPP!B$1:B$32,MATCH(COUNTIF(Z55:AI55,PVO!A$8),ETAPP!A$1:A$32,0))&amp;INDEX(ETAPP!B$1:B$32,MATCH(COUNTIF(Z55:AI55,PVO!A$9),ETAPP!A$1:A$32,0))&amp;INDEX(ETAPP!B$1:B$32,MATCH(COUNTIF(Z55:AI55,PVO!A$10),ETAPP!A$1:A$32,0))&amp;INDEX(ETAPP!B$1:B$32,MATCH(COUNTIF(Z55:AI55,PVO!A$11),ETAPP!A$1:A$32,0))&amp;INDEX(ETAPP!B$1:B$32,MATCH(COUNTIF(Z55:AI55,PVO!A$12),ETAPP!A$1:A$32,0))&amp;INDEX(ETAPP!B$1:B$32,MATCH(COUNTIF(Z55:AI55,PVO!A$13),ETAPP!A$1:A$32,0))&amp;INDEX(ETAPP!B$1:B$32,MATCH(COUNTIF(Z55:AI55,PVO!A$14),ETAPP!A$1:A$32,0))&amp;INDEX(ETAPP!B$1:B$32,MATCH(COUNTIF(Z55:AI55,PVO!A$15),ETAPP!A$1:A$32,0))&amp;INDEX(ETAPP!B$1:B$32,MATCH(COUNTIF(Z55:AI55,PVO!A$16),ETAPP!A$1:A$32,0))&amp;INDEX(ETAPP!B$1:B$32,MATCH(COUNTIF(Z55:AI55,PVO!A$17),ETAPP!A$1:A$32,0))&amp;INDEX(ETAPP!B$1:B$32,MATCH(COUNTIF(Z55:AI55,PVO!A$18),ETAPP!A$1:A$32,0))&amp;INDEX(ETAPP!B$1:B$32,MATCH(COUNTIF(Z55:AI55,PVO!A$19),ETAPP!A$1:A$32,0))</f>
        <v>000000000A000000000</v>
      </c>
      <c r="T55" s="597" t="str">
        <f t="shared" si="5"/>
        <v>011,0-000000000A000000000</v>
      </c>
      <c r="U55" s="597">
        <f>COUNTIF(T$7:T$62,"&gt;="&amp;T55)</f>
        <v>49</v>
      </c>
      <c r="V55" s="597">
        <f>COUNTIF(L$7:L$62,"&gt;="&amp;L55)</f>
        <v>48</v>
      </c>
      <c r="W55" s="597" t="str">
        <f t="shared" si="6"/>
        <v>011,0-000000000A000000000-048</v>
      </c>
      <c r="X55" s="597">
        <f>COUNTIF(W$7:W$62,"&gt;="&amp;W55)</f>
        <v>49</v>
      </c>
      <c r="Y55" s="598">
        <f>RANK(X55,X$7:X$62,0)</f>
        <v>8</v>
      </c>
      <c r="Z55" s="599" t="str">
        <f>IFERROR(INDEX('V1'!C$300:C$400,MATCH("*"&amp;L55&amp;"*",'V1'!B$300:B$400,0)),"  ")</f>
        <v xml:space="preserve">  </v>
      </c>
      <c r="AA55" s="599" t="str">
        <f>IFERROR(INDEX('V2'!C$300:C$400,MATCH("*"&amp;L55&amp;"*",'V2'!B$300:B$400,0)),"  ")</f>
        <v xml:space="preserve">  </v>
      </c>
      <c r="AB55" s="599" t="str">
        <f>IFERROR(INDEX('V3'!C$300:C$400,MATCH("*"&amp;L55&amp;"*",'V3'!B$300:B$400,0)),"  ")</f>
        <v xml:space="preserve">  </v>
      </c>
      <c r="AC55" s="599" t="str">
        <f>IFERROR(INDEX('V4'!C$300:C$400,MATCH("*"&amp;L55&amp;"*",'V4'!B$300:B$400,0)),"  ")</f>
        <v xml:space="preserve">  </v>
      </c>
      <c r="AD55" s="599">
        <f>IFERROR(INDEX('V5'!C$300:C$400,MATCH("*"&amp;L55&amp;"*",'V5'!B$300:B$400,0)),"  ")</f>
        <v>11</v>
      </c>
      <c r="AE55" s="599" t="str">
        <f>IFERROR(INDEX('V6'!C$300:C$400,MATCH("*"&amp;L55&amp;"*",'V6'!B$300:B$400,0)),"  ")</f>
        <v xml:space="preserve">  </v>
      </c>
      <c r="AF55" s="599" t="str">
        <f>IFERROR(INDEX('V7'!C$300:C$400,MATCH("*"&amp;L55&amp;"*",'V7'!B$300:B$400,0)),"  ")</f>
        <v xml:space="preserve">  </v>
      </c>
      <c r="AG55" s="599" t="str">
        <f>IFERROR(INDEX('V8'!C$300:C$400,MATCH("*"&amp;L55&amp;"*",'V8'!B$300:B$400,0)),"  ")</f>
        <v xml:space="preserve">  </v>
      </c>
      <c r="AH55" s="599" t="str">
        <f>IFERROR(INDEX('V9'!C$300:C$400,MATCH("*"&amp;L55&amp;"*",'V9'!B$300:B$400,0)),"  ")</f>
        <v xml:space="preserve">  </v>
      </c>
      <c r="AI55" s="599" t="str">
        <f>IFERROR(INDEX('V10'!C$300:C$400,MATCH("*"&amp;L55&amp;"*",'V10'!B$300:B$400,0)),"  ")</f>
        <v xml:space="preserve">  </v>
      </c>
      <c r="AJ55" s="600">
        <f t="shared" si="7"/>
        <v>0</v>
      </c>
      <c r="AK55" s="600" t="str">
        <f t="shared" si="8"/>
        <v/>
      </c>
      <c r="AL55" s="601">
        <f>IFERROR("edasi "&amp;RANK(AK55,AK$7:AK$62,0),K55)</f>
        <v>48</v>
      </c>
      <c r="AM55" s="602" t="str">
        <f>IFERROR(INDEX('V-fin'!A$300:A$400,MATCH("*"&amp;L55&amp;"*",'V-fin'!B$300:B$400,0)),"  ")</f>
        <v xml:space="preserve">  </v>
      </c>
      <c r="AN55" s="603">
        <f t="shared" si="9"/>
        <v>1</v>
      </c>
      <c r="AO55" s="604">
        <f>IFERROR(IF(Z55+1&gt;LARGE(Z$7:Z$62,1)-2,1),0)+IFERROR(IF(AA55+1&gt;LARGE(AA$7:AA$62,1)-2,1),0)+IFERROR(IF(AB55+1&gt;LARGE(AB$7:AB$62,1)-2,1),0)+IFERROR(IF(AC55+1&gt;LARGE(AC$7:AC$62,1)-2,1),0)+IFERROR(IF(AD55+1&gt;LARGE(AD$7:AD$62,1)-2,1),0)+IFERROR(IF(AE55+1&gt;LARGE(AE$7:AE$62,1)-2,1),0)+IFERROR(IF(AF55+1&gt;LARGE(AF$7:AF$62,1)-2,1),0)+IFERROR(IF(AG55+1&gt;LARGE(AG$7:AG$62,1)-2,1),0)+IFERROR(IF(AH55+1&gt;LARGE(AH$7:AH$62,1)-2,1),0)+IFERROR(IF(AI55+1&gt;LARGE(AI$7:AI$62,1)-2,1),0)</f>
        <v>0</v>
      </c>
      <c r="AP55" s="604">
        <f>IF(Z55=0,0,IF(Z55=IFERROR(LARGE(Z$7:Z$62,1),0),1,0))+IF(AA55=0,0,IF(AA55=IFERROR(LARGE(AA$7:AA$62,1),0),1,0))+IF(AB55=0,0,IF(AB55=IFERROR(LARGE(AB$7:AB$62,1),0),1,0))+IF(AC55=0,0,IF(AC55=IFERROR(LARGE(AC$7:AC$62,1),0),1,0))+IF(AD55=0,0,IF(AD55=IFERROR(LARGE(AD$7:AD$62,1),0),1,0))+IF(AE55=0,0,IF(AE55=IFERROR(LARGE(AE$7:AE$62,1),0),1,0))+IF(AF55=0,0,IF(AF55=IFERROR(LARGE(AF$7:AF$62,1),0),1,0))+IF(AG55=0,0,IF(AG55=IFERROR(LARGE(AG$7:AG$62,1),0),1,0))+IF(AH55=0,0,IF(AH55=IFERROR(LARGE(AH$7:AH$62,1),0),1,0))+IF(AI55=0,0,IF(AI55=IFERROR(LARGE(AI$7:AI$62,1),0),1,0))</f>
        <v>0</v>
      </c>
      <c r="AQ55" s="512"/>
      <c r="AR55" s="605"/>
      <c r="AS55" s="606"/>
      <c r="AT55" s="606"/>
      <c r="AU55" s="606"/>
      <c r="AV55" s="606"/>
      <c r="AW55" s="605">
        <f t="shared" si="10"/>
        <v>1E-4</v>
      </c>
      <c r="AX55" s="606">
        <f t="shared" si="15"/>
        <v>1E-4</v>
      </c>
      <c r="AY55" s="606">
        <f t="shared" si="15"/>
        <v>2.0000000000000001E-4</v>
      </c>
      <c r="AZ55" s="606">
        <f t="shared" si="15"/>
        <v>2.9999999999999997E-4</v>
      </c>
      <c r="BA55" s="606">
        <f t="shared" si="15"/>
        <v>4.0000000000000002E-4</v>
      </c>
      <c r="BB55" s="606">
        <f t="shared" si="15"/>
        <v>11.000500000000001</v>
      </c>
      <c r="BC55" s="606">
        <f t="shared" si="14"/>
        <v>5.9999999999999995E-4</v>
      </c>
      <c r="BD55" s="606">
        <f t="shared" si="14"/>
        <v>6.9999999999999999E-4</v>
      </c>
      <c r="BE55" s="606">
        <f t="shared" si="14"/>
        <v>8.0000000000000004E-4</v>
      </c>
      <c r="BF55" s="606">
        <f t="shared" si="14"/>
        <v>8.9999999999999998E-4</v>
      </c>
      <c r="BG55" s="606">
        <f t="shared" si="14"/>
        <v>1E-3</v>
      </c>
    </row>
    <row r="56" spans="1:59" x14ac:dyDescent="0.2">
      <c r="A56" s="583" t="str">
        <f>IF(R56&gt;0,IF(Q56="v",RANK(B56,B$7:B$62,1)-COUNTBLANK(Q$7:Q$62),""),"")</f>
        <v/>
      </c>
      <c r="B56" s="584">
        <f t="shared" si="0"/>
        <v>-949</v>
      </c>
      <c r="C56" s="585">
        <f>IF(R56&gt;0,IF(P56="k",RANK(D56,D$7:D$62,1)-COUNTBLANK(P$7:P$62),""),"")</f>
        <v>14</v>
      </c>
      <c r="D56" s="584">
        <f t="shared" si="1"/>
        <v>51</v>
      </c>
      <c r="E56" s="586">
        <f>IF(R56&gt;0,IF(N56="m",RANK(F56,F$7:F$62,1)-COUNTBLANK(N$7:N$62),""),"")</f>
        <v>40</v>
      </c>
      <c r="F56" s="584">
        <f t="shared" si="2"/>
        <v>51</v>
      </c>
      <c r="G56" s="587" t="str">
        <f>IF(R56&gt;0,IF(M56="n",RANK(H56,H$7:H$62,1)-COUNTBLANK(M$7:M$62),""),"")</f>
        <v/>
      </c>
      <c r="H56" s="584">
        <f t="shared" si="3"/>
        <v>-949</v>
      </c>
      <c r="I56" s="588" t="str">
        <f>IF(R56&gt;0,IF(O56="j",RANK(J56,J$7:J$62,1)-COUNTBLANK(O$7:O$62),""),"")</f>
        <v/>
      </c>
      <c r="J56" s="589">
        <f t="shared" si="4"/>
        <v>-949</v>
      </c>
      <c r="K56" s="548">
        <f>IF(R56&gt;0,RANK(U56,U$7:U$62,1),"")</f>
        <v>50</v>
      </c>
      <c r="L56" s="607" t="s">
        <v>276</v>
      </c>
      <c r="M56" s="630"/>
      <c r="N56" s="592" t="s">
        <v>321</v>
      </c>
      <c r="O56" s="593"/>
      <c r="P56" s="594" t="s">
        <v>320</v>
      </c>
      <c r="Q56" s="631"/>
      <c r="R56" s="596">
        <f>(IF(COUNT(Z56,AA56,AB56,AC56,AD56,AE56,AF56,AG56,AH56,AI56)&lt;9,SUM(Z56,AA56,AB56,AC56,AD56,AE56,AF56,AG56,AH56,AI56),SUM(LARGE((Z56,AA56,AB56,AC56,AD56,AE56,AF56,AG56,AH56,AI56),{1;2;3;4;5;6;7;8;9}))))</f>
        <v>10</v>
      </c>
      <c r="S56" s="597" t="str">
        <f>INDEX(ETAPP!B$1:B$32,MATCH(COUNTIF(Z56:AI56,PVO!A$1),ETAPP!A$1:A$32,0))&amp;INDEX(ETAPP!B$1:B$32,MATCH(COUNTIF(Z56:AI56,PVO!A$2),ETAPP!A$1:A$32,0))&amp;INDEX(ETAPP!B$1:B$32,MATCH(COUNTIF(Z56:AI56,PVO!A$3),ETAPP!A$1:A$32,0))&amp;INDEX(ETAPP!B$1:B$32,MATCH(COUNTIF(Z56:AI56,PVO!A$4),ETAPP!A$1:A$32,0))&amp;INDEX(ETAPP!B$1:B$32,MATCH(COUNTIF(Z56:AI56,PVO!A$5),ETAPP!A$1:A$32,0))&amp;INDEX(ETAPP!B$1:B$32,MATCH(COUNTIF(Z56:AI56,PVO!A$6),ETAPP!A$1:A$32,0))&amp;INDEX(ETAPP!B$1:B$32,MATCH(COUNTIF(Z56:AI56,PVO!A$7),ETAPP!A$1:A$32,0))&amp;INDEX(ETAPP!B$1:B$32,MATCH(COUNTIF(Z56:AI56,PVO!A$8),ETAPP!A$1:A$32,0))&amp;INDEX(ETAPP!B$1:B$32,MATCH(COUNTIF(Z56:AI56,PVO!A$9),ETAPP!A$1:A$32,0))&amp;INDEX(ETAPP!B$1:B$32,MATCH(COUNTIF(Z56:AI56,PVO!A$10),ETAPP!A$1:A$32,0))&amp;INDEX(ETAPP!B$1:B$32,MATCH(COUNTIF(Z56:AI56,PVO!A$11),ETAPP!A$1:A$32,0))&amp;INDEX(ETAPP!B$1:B$32,MATCH(COUNTIF(Z56:AI56,PVO!A$12),ETAPP!A$1:A$32,0))&amp;INDEX(ETAPP!B$1:B$32,MATCH(COUNTIF(Z56:AI56,PVO!A$13),ETAPP!A$1:A$32,0))&amp;INDEX(ETAPP!B$1:B$32,MATCH(COUNTIF(Z56:AI56,PVO!A$14),ETAPP!A$1:A$32,0))&amp;INDEX(ETAPP!B$1:B$32,MATCH(COUNTIF(Z56:AI56,PVO!A$15),ETAPP!A$1:A$32,0))&amp;INDEX(ETAPP!B$1:B$32,MATCH(COUNTIF(Z56:AI56,PVO!A$16),ETAPP!A$1:A$32,0))&amp;INDEX(ETAPP!B$1:B$32,MATCH(COUNTIF(Z56:AI56,PVO!A$17),ETAPP!A$1:A$32,0))&amp;INDEX(ETAPP!B$1:B$32,MATCH(COUNTIF(Z56:AI56,PVO!A$18),ETAPP!A$1:A$32,0))&amp;INDEX(ETAPP!B$1:B$32,MATCH(COUNTIF(Z56:AI56,PVO!A$19),ETAPP!A$1:A$32,0))</f>
        <v>0000000000A00000000</v>
      </c>
      <c r="T56" s="597" t="str">
        <f t="shared" si="5"/>
        <v>010,0-0000000000A00000000</v>
      </c>
      <c r="U56" s="597">
        <f>COUNTIF(T$7:T$62,"&gt;="&amp;T56)</f>
        <v>51</v>
      </c>
      <c r="V56" s="597">
        <f>COUNTIF(L$7:L$62,"&gt;="&amp;L56)</f>
        <v>4</v>
      </c>
      <c r="W56" s="597" t="str">
        <f t="shared" si="6"/>
        <v>010,0-0000000000A00000000-004</v>
      </c>
      <c r="X56" s="597">
        <f>COUNTIF(W$7:W$62,"&gt;="&amp;W56)</f>
        <v>50</v>
      </c>
      <c r="Y56" s="598">
        <f>RANK(X56,X$7:X$62,0)</f>
        <v>7</v>
      </c>
      <c r="Z56" s="599" t="str">
        <f>IFERROR(INDEX('V1'!C$300:C$400,MATCH("*"&amp;L56&amp;"*",'V1'!B$300:B$400,0)),"  ")</f>
        <v xml:space="preserve">  </v>
      </c>
      <c r="AA56" s="599" t="str">
        <f>IFERROR(INDEX('V2'!C$300:C$400,MATCH("*"&amp;L56&amp;"*",'V2'!B$300:B$400,0)),"  ")</f>
        <v xml:space="preserve">  </v>
      </c>
      <c r="AB56" s="599" t="str">
        <f>IFERROR(INDEX('V3'!C$300:C$400,MATCH("*"&amp;L56&amp;"*",'V3'!B$300:B$400,0)),"  ")</f>
        <v xml:space="preserve">  </v>
      </c>
      <c r="AC56" s="599" t="str">
        <f>IFERROR(INDEX('V4'!C$300:C$400,MATCH("*"&amp;L56&amp;"*",'V4'!B$300:B$400,0)),"  ")</f>
        <v xml:space="preserve">  </v>
      </c>
      <c r="AD56" s="599">
        <f>IFERROR(INDEX('V5'!C$300:C$400,MATCH("*"&amp;L56&amp;"*",'V5'!B$300:B$400,0)),"  ")</f>
        <v>0</v>
      </c>
      <c r="AE56" s="599" t="str">
        <f>IFERROR(INDEX('V6'!C$300:C$400,MATCH("*"&amp;L56&amp;"*",'V6'!B$300:B$400,0)),"  ")</f>
        <v xml:space="preserve">  </v>
      </c>
      <c r="AF56" s="599">
        <f>IFERROR(INDEX('V7'!C$300:C$400,MATCH("*"&amp;L56&amp;"*",'V7'!B$300:B$400,0)),"  ")</f>
        <v>10</v>
      </c>
      <c r="AG56" s="599" t="str">
        <f>IFERROR(INDEX('V8'!C$300:C$400,MATCH("*"&amp;L56&amp;"*",'V8'!B$300:B$400,0)),"  ")</f>
        <v xml:space="preserve">  </v>
      </c>
      <c r="AH56" s="599" t="str">
        <f>IFERROR(INDEX('V9'!C$300:C$400,MATCH("*"&amp;L56&amp;"*",'V9'!B$300:B$400,0)),"  ")</f>
        <v xml:space="preserve">  </v>
      </c>
      <c r="AI56" s="599" t="str">
        <f>IFERROR(INDEX('V10'!C$300:C$400,MATCH("*"&amp;L56&amp;"*",'V10'!B$300:B$400,0)),"  ")</f>
        <v xml:space="preserve">  </v>
      </c>
      <c r="AJ56" s="600">
        <f t="shared" si="7"/>
        <v>0</v>
      </c>
      <c r="AK56" s="600" t="str">
        <f t="shared" si="8"/>
        <v/>
      </c>
      <c r="AL56" s="601">
        <f>IFERROR("edasi "&amp;RANK(AK56,AK$7:AK$62,0),K56)</f>
        <v>50</v>
      </c>
      <c r="AM56" s="602" t="str">
        <f>IFERROR(INDEX('V-fin'!A$300:A$400,MATCH("*"&amp;L56&amp;"*",'V-fin'!B$300:B$400,0)),"  ")</f>
        <v xml:space="preserve">  </v>
      </c>
      <c r="AN56" s="603">
        <f t="shared" si="9"/>
        <v>2</v>
      </c>
      <c r="AO56" s="604">
        <f>IFERROR(IF(Z56+1&gt;LARGE(Z$7:Z$62,1)-2,1),0)+IFERROR(IF(AA56+1&gt;LARGE(AA$7:AA$62,1)-2,1),0)+IFERROR(IF(AB56+1&gt;LARGE(AB$7:AB$62,1)-2,1),0)+IFERROR(IF(AC56+1&gt;LARGE(AC$7:AC$62,1)-2,1),0)+IFERROR(IF(AD56+1&gt;LARGE(AD$7:AD$62,1)-2,1),0)+IFERROR(IF(AE56+1&gt;LARGE(AE$7:AE$62,1)-2,1),0)+IFERROR(IF(AF56+1&gt;LARGE(AF$7:AF$62,1)-2,1),0)+IFERROR(IF(AG56+1&gt;LARGE(AG$7:AG$62,1)-2,1),0)+IFERROR(IF(AH56+1&gt;LARGE(AH$7:AH$62,1)-2,1),0)+IFERROR(IF(AI56+1&gt;LARGE(AI$7:AI$62,1)-2,1),0)</f>
        <v>0</v>
      </c>
      <c r="AP56" s="604">
        <f>IF(Z56=0,0,IF(Z56=IFERROR(LARGE(Z$7:Z$62,1),0),1,0))+IF(AA56=0,0,IF(AA56=IFERROR(LARGE(AA$7:AA$62,1),0),1,0))+IF(AB56=0,0,IF(AB56=IFERROR(LARGE(AB$7:AB$62,1),0),1,0))+IF(AC56=0,0,IF(AC56=IFERROR(LARGE(AC$7:AC$62,1),0),1,0))+IF(AD56=0,0,IF(AD56=IFERROR(LARGE(AD$7:AD$62,1),0),1,0))+IF(AE56=0,0,IF(AE56=IFERROR(LARGE(AE$7:AE$62,1),0),1,0))+IF(AF56=0,0,IF(AF56=IFERROR(LARGE(AF$7:AF$62,1),0),1,0))+IF(AG56=0,0,IF(AG56=IFERROR(LARGE(AG$7:AG$62,1),0),1,0))+IF(AH56=0,0,IF(AH56=IFERROR(LARGE(AH$7:AH$62,1),0),1,0))+IF(AI56=0,0,IF(AI56=IFERROR(LARGE(AI$7:AI$62,1),0),1,0))</f>
        <v>0</v>
      </c>
      <c r="AQ56" s="620"/>
      <c r="AR56" s="605"/>
      <c r="AS56" s="606"/>
      <c r="AT56" s="606"/>
      <c r="AU56" s="606"/>
      <c r="AV56" s="606"/>
      <c r="AW56" s="605">
        <f t="shared" si="10"/>
        <v>1E-4</v>
      </c>
      <c r="AX56" s="606">
        <f t="shared" si="15"/>
        <v>1E-4</v>
      </c>
      <c r="AY56" s="606">
        <f t="shared" si="15"/>
        <v>2.0000000000000001E-4</v>
      </c>
      <c r="AZ56" s="606">
        <f t="shared" si="15"/>
        <v>2.9999999999999997E-4</v>
      </c>
      <c r="BA56" s="606">
        <f t="shared" si="15"/>
        <v>4.0000000000000002E-4</v>
      </c>
      <c r="BB56" s="606">
        <f t="shared" si="15"/>
        <v>5.0000000000000001E-4</v>
      </c>
      <c r="BC56" s="606">
        <f t="shared" si="14"/>
        <v>5.9999999999999995E-4</v>
      </c>
      <c r="BD56" s="606">
        <f t="shared" si="14"/>
        <v>10.0007</v>
      </c>
      <c r="BE56" s="606">
        <f t="shared" si="14"/>
        <v>8.0000000000000004E-4</v>
      </c>
      <c r="BF56" s="606">
        <f t="shared" si="14"/>
        <v>8.9999999999999998E-4</v>
      </c>
      <c r="BG56" s="606">
        <f t="shared" si="14"/>
        <v>1E-3</v>
      </c>
    </row>
    <row r="57" spans="1:59" x14ac:dyDescent="0.2">
      <c r="A57" s="583" t="str">
        <f>IF(R57&gt;0,IF(Q57="v",RANK(B57,B$7:B$62,1)-COUNTBLANK(Q$7:Q$62),""),"")</f>
        <v/>
      </c>
      <c r="B57" s="584">
        <f t="shared" si="0"/>
        <v>-949</v>
      </c>
      <c r="C57" s="585" t="str">
        <f>IF(R57&gt;0,IF(P57="k",RANK(D57,D$7:D$62,1)-COUNTBLANK(P$7:P$62),""),"")</f>
        <v/>
      </c>
      <c r="D57" s="584">
        <f t="shared" si="1"/>
        <v>-949</v>
      </c>
      <c r="E57" s="586">
        <f>IF(R57&gt;0,IF(N57="m",RANK(F57,F$7:F$62,1)-COUNTBLANK(N$7:N$62),""),"")</f>
        <v>40</v>
      </c>
      <c r="F57" s="584">
        <f t="shared" si="2"/>
        <v>51</v>
      </c>
      <c r="G57" s="587" t="str">
        <f>IF(R57&gt;0,IF(M57="n",RANK(H57,H$7:H$62,1)-COUNTBLANK(M$7:M$62),""),"")</f>
        <v/>
      </c>
      <c r="H57" s="584">
        <f t="shared" si="3"/>
        <v>-949</v>
      </c>
      <c r="I57" s="588">
        <f>IF(R57&gt;0,IF(O57="j",RANK(J57,J$7:J$62,1)-COUNTBLANK(O$7:O$62),""),"")</f>
        <v>3</v>
      </c>
      <c r="J57" s="589">
        <f t="shared" si="4"/>
        <v>51</v>
      </c>
      <c r="K57" s="548">
        <f>IF(R57&gt;0,RANK(U57,U$7:U$62,1),"")</f>
        <v>50</v>
      </c>
      <c r="L57" s="590" t="s">
        <v>269</v>
      </c>
      <c r="M57" s="591"/>
      <c r="N57" s="592" t="str">
        <f>IF(M57="","m","")</f>
        <v>m</v>
      </c>
      <c r="O57" s="610" t="s">
        <v>240</v>
      </c>
      <c r="P57" s="629"/>
      <c r="Q57" s="631"/>
      <c r="R57" s="596">
        <f>(IF(COUNT(Z57,AA57,AB57,AC57,AD57,AE57,AF57,AG57,AH57,AI57)&lt;9,SUM(Z57,AA57,AB57,AC57,AD57,AE57,AF57,AG57,AH57,AI57),SUM(LARGE((Z57,AA57,AB57,AC57,AD57,AE57,AF57,AG57,AH57,AI57),{1;2;3;4;5;6;7;8;9}))))</f>
        <v>10</v>
      </c>
      <c r="S57" s="597" t="str">
        <f>INDEX(ETAPP!B$1:B$32,MATCH(COUNTIF(Z57:AI57,PVO!A$1),ETAPP!A$1:A$32,0))&amp;INDEX(ETAPP!B$1:B$32,MATCH(COUNTIF(Z57:AI57,PVO!A$2),ETAPP!A$1:A$32,0))&amp;INDEX(ETAPP!B$1:B$32,MATCH(COUNTIF(Z57:AI57,PVO!A$3),ETAPP!A$1:A$32,0))&amp;INDEX(ETAPP!B$1:B$32,MATCH(COUNTIF(Z57:AI57,PVO!A$4),ETAPP!A$1:A$32,0))&amp;INDEX(ETAPP!B$1:B$32,MATCH(COUNTIF(Z57:AI57,PVO!A$5),ETAPP!A$1:A$32,0))&amp;INDEX(ETAPP!B$1:B$32,MATCH(COUNTIF(Z57:AI57,PVO!A$6),ETAPP!A$1:A$32,0))&amp;INDEX(ETAPP!B$1:B$32,MATCH(COUNTIF(Z57:AI57,PVO!A$7),ETAPP!A$1:A$32,0))&amp;INDEX(ETAPP!B$1:B$32,MATCH(COUNTIF(Z57:AI57,PVO!A$8),ETAPP!A$1:A$32,0))&amp;INDEX(ETAPP!B$1:B$32,MATCH(COUNTIF(Z57:AI57,PVO!A$9),ETAPP!A$1:A$32,0))&amp;INDEX(ETAPP!B$1:B$32,MATCH(COUNTIF(Z57:AI57,PVO!A$10),ETAPP!A$1:A$32,0))&amp;INDEX(ETAPP!B$1:B$32,MATCH(COUNTIF(Z57:AI57,PVO!A$11),ETAPP!A$1:A$32,0))&amp;INDEX(ETAPP!B$1:B$32,MATCH(COUNTIF(Z57:AI57,PVO!A$12),ETAPP!A$1:A$32,0))&amp;INDEX(ETAPP!B$1:B$32,MATCH(COUNTIF(Z57:AI57,PVO!A$13),ETAPP!A$1:A$32,0))&amp;INDEX(ETAPP!B$1:B$32,MATCH(COUNTIF(Z57:AI57,PVO!A$14),ETAPP!A$1:A$32,0))&amp;INDEX(ETAPP!B$1:B$32,MATCH(COUNTIF(Z57:AI57,PVO!A$15),ETAPP!A$1:A$32,0))&amp;INDEX(ETAPP!B$1:B$32,MATCH(COUNTIF(Z57:AI57,PVO!A$16),ETAPP!A$1:A$32,0))&amp;INDEX(ETAPP!B$1:B$32,MATCH(COUNTIF(Z57:AI57,PVO!A$17),ETAPP!A$1:A$32,0))&amp;INDEX(ETAPP!B$1:B$32,MATCH(COUNTIF(Z57:AI57,PVO!A$18),ETAPP!A$1:A$32,0))&amp;INDEX(ETAPP!B$1:B$32,MATCH(COUNTIF(Z57:AI57,PVO!A$19),ETAPP!A$1:A$32,0))</f>
        <v>0000000000A00000000</v>
      </c>
      <c r="T57" s="597" t="str">
        <f t="shared" si="5"/>
        <v>010,0-0000000000A00000000</v>
      </c>
      <c r="U57" s="597">
        <f>COUNTIF(T$7:T$62,"&gt;="&amp;T57)</f>
        <v>51</v>
      </c>
      <c r="V57" s="597">
        <f>COUNTIF(L$7:L$62,"&gt;="&amp;L57)</f>
        <v>3</v>
      </c>
      <c r="W57" s="597" t="str">
        <f t="shared" si="6"/>
        <v>010,0-0000000000A00000000-003</v>
      </c>
      <c r="X57" s="597">
        <f>COUNTIF(W$7:W$62,"&gt;="&amp;W57)</f>
        <v>51</v>
      </c>
      <c r="Y57" s="598">
        <f>RANK(X57,X$7:X$62,0)</f>
        <v>6</v>
      </c>
      <c r="Z57" s="599" t="str">
        <f>IFERROR(INDEX('V1'!C$300:C$400,MATCH("*"&amp;L57&amp;"*",'V1'!B$300:B$400,0)),"  ")</f>
        <v xml:space="preserve">  </v>
      </c>
      <c r="AA57" s="599" t="str">
        <f>IFERROR(INDEX('V2'!C$300:C$400,MATCH("*"&amp;L57&amp;"*",'V2'!B$300:B$400,0)),"  ")</f>
        <v xml:space="preserve">  </v>
      </c>
      <c r="AB57" s="599" t="str">
        <f>IFERROR(INDEX('V3'!C$300:C$400,MATCH("*"&amp;L57&amp;"*",'V3'!B$300:B$400,0)),"  ")</f>
        <v xml:space="preserve">  </v>
      </c>
      <c r="AC57" s="599" t="str">
        <f>IFERROR(INDEX('V4'!C$300:C$400,MATCH("*"&amp;L57&amp;"*",'V4'!B$300:B$400,0)),"  ")</f>
        <v xml:space="preserve">  </v>
      </c>
      <c r="AD57" s="599" t="str">
        <f>IFERROR(INDEX('V5'!C$300:C$400,MATCH("*"&amp;L57&amp;"*",'V5'!B$300:B$400,0)),"  ")</f>
        <v xml:space="preserve">  </v>
      </c>
      <c r="AE57" s="599" t="str">
        <f>IFERROR(INDEX('V6'!C$300:C$400,MATCH("*"&amp;L57&amp;"*",'V6'!B$300:B$400,0)),"  ")</f>
        <v xml:space="preserve">  </v>
      </c>
      <c r="AF57" s="599" t="str">
        <f>IFERROR(INDEX('V7'!C$300:C$400,MATCH("*"&amp;L57&amp;"*",'V7'!B$300:B$400,0)),"  ")</f>
        <v xml:space="preserve">  </v>
      </c>
      <c r="AG57" s="599">
        <f>IFERROR(INDEX('V8'!C$300:C$400,MATCH("*"&amp;L57&amp;"*",'V8'!B$300:B$400,0)),"  ")</f>
        <v>10</v>
      </c>
      <c r="AH57" s="599" t="str">
        <f>IFERROR(INDEX('V9'!C$300:C$400,MATCH("*"&amp;L57&amp;"*",'V9'!B$300:B$400,0)),"  ")</f>
        <v xml:space="preserve">  </v>
      </c>
      <c r="AI57" s="599" t="str">
        <f>IFERROR(INDEX('V10'!C$300:C$400,MATCH("*"&amp;L57&amp;"*",'V10'!B$300:B$400,0)),"  ")</f>
        <v xml:space="preserve">  </v>
      </c>
      <c r="AJ57" s="600">
        <f t="shared" si="7"/>
        <v>0</v>
      </c>
      <c r="AK57" s="600" t="str">
        <f t="shared" si="8"/>
        <v/>
      </c>
      <c r="AL57" s="601">
        <f>IFERROR("edasi "&amp;RANK(AK57,AK$7:AK$62,0),K57)</f>
        <v>50</v>
      </c>
      <c r="AM57" s="602" t="str">
        <f>IFERROR(INDEX('V-fin'!A$300:A$400,MATCH("*"&amp;L57&amp;"*",'V-fin'!B$300:B$400,0)),"  ")</f>
        <v xml:space="preserve">  </v>
      </c>
      <c r="AN57" s="603">
        <f t="shared" si="9"/>
        <v>1</v>
      </c>
      <c r="AO57" s="604">
        <f>IFERROR(IF(Z57+1&gt;LARGE(Z$7:Z$62,1)-2,1),0)+IFERROR(IF(AA57+1&gt;LARGE(AA$7:AA$62,1)-2,1),0)+IFERROR(IF(AB57+1&gt;LARGE(AB$7:AB$62,1)-2,1),0)+IFERROR(IF(AC57+1&gt;LARGE(AC$7:AC$62,1)-2,1),0)+IFERROR(IF(AD57+1&gt;LARGE(AD$7:AD$62,1)-2,1),0)+IFERROR(IF(AE57+1&gt;LARGE(AE$7:AE$62,1)-2,1),0)+IFERROR(IF(AF57+1&gt;LARGE(AF$7:AF$62,1)-2,1),0)+IFERROR(IF(AG57+1&gt;LARGE(AG$7:AG$62,1)-2,1),0)+IFERROR(IF(AH57+1&gt;LARGE(AH$7:AH$62,1)-2,1),0)+IFERROR(IF(AI57+1&gt;LARGE(AI$7:AI$62,1)-2,1),0)</f>
        <v>0</v>
      </c>
      <c r="AP57" s="604">
        <f>IF(Z57=0,0,IF(Z57=IFERROR(LARGE(Z$7:Z$62,1),0),1,0))+IF(AA57=0,0,IF(AA57=IFERROR(LARGE(AA$7:AA$62,1),0),1,0))+IF(AB57=0,0,IF(AB57=IFERROR(LARGE(AB$7:AB$62,1),0),1,0))+IF(AC57=0,0,IF(AC57=IFERROR(LARGE(AC$7:AC$62,1),0),1,0))+IF(AD57=0,0,IF(AD57=IFERROR(LARGE(AD$7:AD$62,1),0),1,0))+IF(AE57=0,0,IF(AE57=IFERROR(LARGE(AE$7:AE$62,1),0),1,0))+IF(AF57=0,0,IF(AF57=IFERROR(LARGE(AF$7:AF$62,1),0),1,0))+IF(AG57=0,0,IF(AG57=IFERROR(LARGE(AG$7:AG$62,1),0),1,0))+IF(AH57=0,0,IF(AH57=IFERROR(LARGE(AH$7:AH$62,1),0),1,0))+IF(AI57=0,0,IF(AI57=IFERROR(LARGE(AI$7:AI$62,1),0),1,0))</f>
        <v>0</v>
      </c>
      <c r="AQ57" s="620"/>
      <c r="AR57" s="605"/>
      <c r="AS57" s="606"/>
      <c r="AT57" s="606"/>
      <c r="AU57" s="606"/>
      <c r="AV57" s="606"/>
      <c r="AW57" s="605">
        <f t="shared" si="10"/>
        <v>1E-4</v>
      </c>
      <c r="AX57" s="606">
        <f t="shared" si="15"/>
        <v>1E-4</v>
      </c>
      <c r="AY57" s="606">
        <f t="shared" si="15"/>
        <v>2.0000000000000001E-4</v>
      </c>
      <c r="AZ57" s="606">
        <f t="shared" si="15"/>
        <v>2.9999999999999997E-4</v>
      </c>
      <c r="BA57" s="606">
        <f t="shared" si="15"/>
        <v>4.0000000000000002E-4</v>
      </c>
      <c r="BB57" s="606">
        <f t="shared" si="15"/>
        <v>5.0000000000000001E-4</v>
      </c>
      <c r="BC57" s="606">
        <f t="shared" si="14"/>
        <v>5.9999999999999995E-4</v>
      </c>
      <c r="BD57" s="606">
        <f t="shared" si="14"/>
        <v>6.9999999999999999E-4</v>
      </c>
      <c r="BE57" s="606">
        <f t="shared" si="14"/>
        <v>10.0008</v>
      </c>
      <c r="BF57" s="606">
        <f t="shared" si="14"/>
        <v>8.9999999999999998E-4</v>
      </c>
      <c r="BG57" s="606">
        <f t="shared" si="14"/>
        <v>1E-3</v>
      </c>
    </row>
    <row r="58" spans="1:59" x14ac:dyDescent="0.2">
      <c r="A58" s="583">
        <f>IF(R58&gt;0,IF(Q58="v",RANK(B58,B$7:B$62,1)-COUNTBLANK(Q$7:Q$62),""),"")</f>
        <v>29</v>
      </c>
      <c r="B58" s="584">
        <f t="shared" si="0"/>
        <v>55</v>
      </c>
      <c r="C58" s="585">
        <f>IF(R58&gt;0,IF(P58="k",RANK(D58,D$7:D$62,1)-COUNTBLANK(P$7:P$62),""),"")</f>
        <v>15</v>
      </c>
      <c r="D58" s="584">
        <f t="shared" si="1"/>
        <v>55</v>
      </c>
      <c r="E58" s="586" t="str">
        <f>IF(R58&gt;0,IF(N58="m",RANK(F58,F$7:F$62,1)-COUNTBLANK(N$7:N$62),""),"")</f>
        <v/>
      </c>
      <c r="F58" s="584">
        <f t="shared" si="2"/>
        <v>-945</v>
      </c>
      <c r="G58" s="587">
        <f>IF(R58&gt;0,IF(M58="n",RANK(H58,H$7:H$62,1)-COUNTBLANK(M$7:M$62),""),"")</f>
        <v>11</v>
      </c>
      <c r="H58" s="584">
        <f t="shared" si="3"/>
        <v>55</v>
      </c>
      <c r="I58" s="588">
        <f>IF(R58&gt;0,IF(O58="j",RANK(J58,J$7:J$62,1)-COUNTBLANK(O$7:O$62),""),"")</f>
        <v>4</v>
      </c>
      <c r="J58" s="589">
        <f t="shared" si="4"/>
        <v>55</v>
      </c>
      <c r="K58" s="548">
        <f>IF(R58&gt;0,RANK(U58,U$7:U$62,1),"")</f>
        <v>52</v>
      </c>
      <c r="L58" s="590" t="s">
        <v>327</v>
      </c>
      <c r="M58" s="591" t="s">
        <v>234</v>
      </c>
      <c r="N58" s="592" t="str">
        <f>IF(M58="","m","")</f>
        <v/>
      </c>
      <c r="O58" s="593" t="s">
        <v>240</v>
      </c>
      <c r="P58" s="594" t="s">
        <v>320</v>
      </c>
      <c r="Q58" s="595" t="s">
        <v>319</v>
      </c>
      <c r="R58" s="596">
        <f>(IF(COUNT(Z58,AA58,AB58,AC58,AD58,AE58,AF58,AG58,AH58,AI58)&lt;9,SUM(Z58,AA58,AB58,AC58,AD58,AE58,AF58,AG58,AH58,AI58),SUM(LARGE((Z58,AA58,AB58,AC58,AD58,AE58,AF58,AG58,AH58,AI58),{1;2;3;4;5;6;7;8;9}))))</f>
        <v>9</v>
      </c>
      <c r="S58" s="597" t="str">
        <f>INDEX(ETAPP!B$1:B$32,MATCH(COUNTIF(Z58:AI58,PVO!A$1),ETAPP!A$1:A$32,0))&amp;INDEX(ETAPP!B$1:B$32,MATCH(COUNTIF(Z58:AI58,PVO!A$2),ETAPP!A$1:A$32,0))&amp;INDEX(ETAPP!B$1:B$32,MATCH(COUNTIF(Z58:AI58,PVO!A$3),ETAPP!A$1:A$32,0))&amp;INDEX(ETAPP!B$1:B$32,MATCH(COUNTIF(Z58:AI58,PVO!A$4),ETAPP!A$1:A$32,0))&amp;INDEX(ETAPP!B$1:B$32,MATCH(COUNTIF(Z58:AI58,PVO!A$5),ETAPP!A$1:A$32,0))&amp;INDEX(ETAPP!B$1:B$32,MATCH(COUNTIF(Z58:AI58,PVO!A$6),ETAPP!A$1:A$32,0))&amp;INDEX(ETAPP!B$1:B$32,MATCH(COUNTIF(Z58:AI58,PVO!A$7),ETAPP!A$1:A$32,0))&amp;INDEX(ETAPP!B$1:B$32,MATCH(COUNTIF(Z58:AI58,PVO!A$8),ETAPP!A$1:A$32,0))&amp;INDEX(ETAPP!B$1:B$32,MATCH(COUNTIF(Z58:AI58,PVO!A$9),ETAPP!A$1:A$32,0))&amp;INDEX(ETAPP!B$1:B$32,MATCH(COUNTIF(Z58:AI58,PVO!A$10),ETAPP!A$1:A$32,0))&amp;INDEX(ETAPP!B$1:B$32,MATCH(COUNTIF(Z58:AI58,PVO!A$11),ETAPP!A$1:A$32,0))&amp;INDEX(ETAPP!B$1:B$32,MATCH(COUNTIF(Z58:AI58,PVO!A$12),ETAPP!A$1:A$32,0))&amp;INDEX(ETAPP!B$1:B$32,MATCH(COUNTIF(Z58:AI58,PVO!A$13),ETAPP!A$1:A$32,0))&amp;INDEX(ETAPP!B$1:B$32,MATCH(COUNTIF(Z58:AI58,PVO!A$14),ETAPP!A$1:A$32,0))&amp;INDEX(ETAPP!B$1:B$32,MATCH(COUNTIF(Z58:AI58,PVO!A$15),ETAPP!A$1:A$32,0))&amp;INDEX(ETAPP!B$1:B$32,MATCH(COUNTIF(Z58:AI58,PVO!A$16),ETAPP!A$1:A$32,0))&amp;INDEX(ETAPP!B$1:B$32,MATCH(COUNTIF(Z58:AI58,PVO!A$17),ETAPP!A$1:A$32,0))&amp;INDEX(ETAPP!B$1:B$32,MATCH(COUNTIF(Z58:AI58,PVO!A$18),ETAPP!A$1:A$32,0))&amp;INDEX(ETAPP!B$1:B$32,MATCH(COUNTIF(Z58:AI58,PVO!A$19),ETAPP!A$1:A$32,0))</f>
        <v>00000000000A0000000</v>
      </c>
      <c r="T58" s="597" t="str">
        <f t="shared" si="5"/>
        <v>009,0-00000000000A0000000</v>
      </c>
      <c r="U58" s="597">
        <f>COUNTIF(T$7:T$62,"&gt;="&amp;T58)</f>
        <v>55</v>
      </c>
      <c r="V58" s="597">
        <f>COUNTIF(L$7:L$62,"&gt;="&amp;L58)</f>
        <v>30</v>
      </c>
      <c r="W58" s="597" t="str">
        <f t="shared" si="6"/>
        <v>009,0-00000000000A0000000-030</v>
      </c>
      <c r="X58" s="597">
        <f>COUNTIF(W$7:W$62,"&gt;="&amp;W58)</f>
        <v>52</v>
      </c>
      <c r="Y58" s="598">
        <f>RANK(X58,X$7:X$62,0)</f>
        <v>5</v>
      </c>
      <c r="Z58" s="599" t="str">
        <f>IFERROR(INDEX('V1'!C$300:C$400,MATCH("*"&amp;L58&amp;"*",'V1'!B$300:B$400,0)),"  ")</f>
        <v xml:space="preserve">  </v>
      </c>
      <c r="AA58" s="599" t="str">
        <f>IFERROR(INDEX('V2'!C$300:C$400,MATCH("*"&amp;L58&amp;"*",'V2'!B$300:B$400,0)),"  ")</f>
        <v xml:space="preserve">  </v>
      </c>
      <c r="AB58" s="599" t="str">
        <f>IFERROR(INDEX('V3'!C$300:C$400,MATCH("*"&amp;L58&amp;"*",'V3'!B$300:B$400,0)),"  ")</f>
        <v xml:space="preserve">  </v>
      </c>
      <c r="AC58" s="599" t="str">
        <f>IFERROR(INDEX('V4'!C$300:C$400,MATCH("*"&amp;L58&amp;"*",'V4'!B$300:B$400,0)),"  ")</f>
        <v xml:space="preserve">  </v>
      </c>
      <c r="AD58" s="599" t="str">
        <f>IFERROR(INDEX('V5'!C$300:C$400,MATCH("*"&amp;L58&amp;"*",'V5'!B$300:B$400,0)),"  ")</f>
        <v xml:space="preserve">  </v>
      </c>
      <c r="AE58" s="599" t="str">
        <f>IFERROR(INDEX('V6'!C$300:C$400,MATCH("*"&amp;L58&amp;"*",'V6'!B$300:B$400,0)),"  ")</f>
        <v xml:space="preserve">  </v>
      </c>
      <c r="AF58" s="599" t="str">
        <f>IFERROR(INDEX('V7'!C$300:C$400,MATCH("*"&amp;L58&amp;"*",'V7'!B$300:B$400,0)),"  ")</f>
        <v xml:space="preserve">  </v>
      </c>
      <c r="AG58" s="599" t="str">
        <f>IFERROR(INDEX('V8'!C$300:C$400,MATCH("*"&amp;L58&amp;"*",'V8'!B$300:B$400,0)),"  ")</f>
        <v xml:space="preserve">  </v>
      </c>
      <c r="AH58" s="599" t="str">
        <f>IFERROR(INDEX('V9'!C$300:C$400,MATCH("*"&amp;L58&amp;"*",'V9'!B$300:B$400,0)),"  ")</f>
        <v xml:space="preserve">  </v>
      </c>
      <c r="AI58" s="599">
        <f>IFERROR(INDEX('V10'!C$300:C$400,MATCH("*"&amp;L58&amp;"*",'V10'!B$300:B$400,0)),"  ")</f>
        <v>9</v>
      </c>
      <c r="AJ58" s="600">
        <f t="shared" si="7"/>
        <v>0</v>
      </c>
      <c r="AK58" s="600" t="str">
        <f t="shared" si="8"/>
        <v/>
      </c>
      <c r="AL58" s="601">
        <f>IFERROR("edasi "&amp;RANK(AK58,AK$7:AK$62,0),K58)</f>
        <v>52</v>
      </c>
      <c r="AM58" s="602" t="str">
        <f>IFERROR(INDEX('V-fin'!A$300:A$400,MATCH("*"&amp;L58&amp;"*",'V-fin'!B$300:B$400,0)),"  ")</f>
        <v xml:space="preserve">  </v>
      </c>
      <c r="AN58" s="603">
        <f t="shared" si="9"/>
        <v>1</v>
      </c>
      <c r="AO58" s="604">
        <f>IFERROR(IF(Z58+1&gt;LARGE(Z$7:Z$62,1)-2,1),0)+IFERROR(IF(AA58+1&gt;LARGE(AA$7:AA$62,1)-2,1),0)+IFERROR(IF(AB58+1&gt;LARGE(AB$7:AB$62,1)-2,1),0)+IFERROR(IF(AC58+1&gt;LARGE(AC$7:AC$62,1)-2,1),0)+IFERROR(IF(AD58+1&gt;LARGE(AD$7:AD$62,1)-2,1),0)+IFERROR(IF(AE58+1&gt;LARGE(AE$7:AE$62,1)-2,1),0)+IFERROR(IF(AF58+1&gt;LARGE(AF$7:AF$62,1)-2,1),0)+IFERROR(IF(AG58+1&gt;LARGE(AG$7:AG$62,1)-2,1),0)+IFERROR(IF(AH58+1&gt;LARGE(AH$7:AH$62,1)-2,1),0)+IFERROR(IF(AI58+1&gt;LARGE(AI$7:AI$62,1)-2,1),0)</f>
        <v>0</v>
      </c>
      <c r="AP58" s="604">
        <f>IF(Z58=0,0,IF(Z58=IFERROR(LARGE(Z$7:Z$62,1),0),1,0))+IF(AA58=0,0,IF(AA58=IFERROR(LARGE(AA$7:AA$62,1),0),1,0))+IF(AB58=0,0,IF(AB58=IFERROR(LARGE(AB$7:AB$62,1),0),1,0))+IF(AC58=0,0,IF(AC58=IFERROR(LARGE(AC$7:AC$62,1),0),1,0))+IF(AD58=0,0,IF(AD58=IFERROR(LARGE(AD$7:AD$62,1),0),1,0))+IF(AE58=0,0,IF(AE58=IFERROR(LARGE(AE$7:AE$62,1),0),1,0))+IF(AF58=0,0,IF(AF58=IFERROR(LARGE(AF$7:AF$62,1),0),1,0))+IF(AG58=0,0,IF(AG58=IFERROR(LARGE(AG$7:AG$62,1),0),1,0))+IF(AH58=0,0,IF(AH58=IFERROR(LARGE(AH$7:AH$62,1),0),1,0))+IF(AI58=0,0,IF(AI58=IFERROR(LARGE(AI$7:AI$62,1),0),1,0))</f>
        <v>0</v>
      </c>
      <c r="AQ58" s="512"/>
      <c r="AR58" s="605"/>
      <c r="AS58" s="606"/>
      <c r="AT58" s="606"/>
      <c r="AU58" s="606"/>
      <c r="AV58" s="606"/>
      <c r="AW58" s="605">
        <f t="shared" si="10"/>
        <v>1E-4</v>
      </c>
      <c r="AX58" s="606">
        <f t="shared" si="15"/>
        <v>1E-4</v>
      </c>
      <c r="AY58" s="606">
        <f t="shared" si="15"/>
        <v>2.0000000000000001E-4</v>
      </c>
      <c r="AZ58" s="606">
        <f t="shared" si="15"/>
        <v>2.9999999999999997E-4</v>
      </c>
      <c r="BA58" s="606">
        <f t="shared" si="15"/>
        <v>4.0000000000000002E-4</v>
      </c>
      <c r="BB58" s="606">
        <f t="shared" si="15"/>
        <v>5.0000000000000001E-4</v>
      </c>
      <c r="BC58" s="606">
        <f t="shared" si="14"/>
        <v>5.9999999999999995E-4</v>
      </c>
      <c r="BD58" s="606">
        <f t="shared" si="14"/>
        <v>6.9999999999999999E-4</v>
      </c>
      <c r="BE58" s="606">
        <f t="shared" si="14"/>
        <v>8.0000000000000004E-4</v>
      </c>
      <c r="BF58" s="606">
        <f t="shared" si="14"/>
        <v>8.9999999999999998E-4</v>
      </c>
      <c r="BG58" s="606">
        <f t="shared" si="14"/>
        <v>9.0009999999999994</v>
      </c>
    </row>
    <row r="59" spans="1:59" x14ac:dyDescent="0.2">
      <c r="A59" s="583">
        <f>IF(R59&gt;0,IF(Q59="v",RANK(B59,B$7:B$62,1)-COUNTBLANK(Q$7:Q$62),""),"")</f>
        <v>29</v>
      </c>
      <c r="B59" s="584">
        <f t="shared" si="0"/>
        <v>55</v>
      </c>
      <c r="C59" s="585"/>
      <c r="D59" s="584">
        <f t="shared" si="1"/>
        <v>-945</v>
      </c>
      <c r="E59" s="586" t="str">
        <f>IF(R59&gt;0,IF(N59="m",RANK(F59,F$7:F$62,1)-COUNTBLANK(N$7:N$62),""),"")</f>
        <v/>
      </c>
      <c r="F59" s="584">
        <f t="shared" si="2"/>
        <v>-945</v>
      </c>
      <c r="G59" s="587">
        <f>IF(R59&gt;0,IF(M59="n",RANK(H59,H$7:H$62,1)-COUNTBLANK(M$7:M$62),""),"")</f>
        <v>11</v>
      </c>
      <c r="H59" s="584">
        <f t="shared" si="3"/>
        <v>55</v>
      </c>
      <c r="I59" s="588">
        <f>IF(R59&gt;0,IF(O59="j",RANK(J59,J$7:J$62,1)-COUNTBLANK(O$7:O$62),""),"")</f>
        <v>4</v>
      </c>
      <c r="J59" s="589">
        <f t="shared" si="4"/>
        <v>55</v>
      </c>
      <c r="K59" s="548">
        <f>IF(R59&gt;0,RANK(U59,U$7:U$62,1),"")</f>
        <v>52</v>
      </c>
      <c r="L59" s="607" t="s">
        <v>328</v>
      </c>
      <c r="M59" s="591" t="s">
        <v>234</v>
      </c>
      <c r="N59" s="592" t="str">
        <f>IF(M59="","m","")</f>
        <v/>
      </c>
      <c r="O59" s="593" t="s">
        <v>240</v>
      </c>
      <c r="P59" s="594"/>
      <c r="Q59" s="595" t="s">
        <v>319</v>
      </c>
      <c r="R59" s="596">
        <f>(IF(COUNT(Z59,AA59,AB59,AC59,AD59,AE59,AF59,AG59,AH59,AI59)&lt;9,SUM(Z59,AA59,AB59,AC59,AD59,AE59,AF59,AG59,AH59,AI59),SUM(LARGE((Z59,AA59,AB59,AC59,AD59,AE59,AF59,AG59,AH59,AI59),{1;2;3;4;5;6;7;8;9}))))</f>
        <v>9</v>
      </c>
      <c r="S59" s="597" t="str">
        <f>INDEX(ETAPP!B$1:B$32,MATCH(COUNTIF(Z59:AI59,PVO!A$1),ETAPP!A$1:A$32,0))&amp;INDEX(ETAPP!B$1:B$32,MATCH(COUNTIF(Z59:AI59,PVO!A$2),ETAPP!A$1:A$32,0))&amp;INDEX(ETAPP!B$1:B$32,MATCH(COUNTIF(Z59:AI59,PVO!A$3),ETAPP!A$1:A$32,0))&amp;INDEX(ETAPP!B$1:B$32,MATCH(COUNTIF(Z59:AI59,PVO!A$4),ETAPP!A$1:A$32,0))&amp;INDEX(ETAPP!B$1:B$32,MATCH(COUNTIF(Z59:AI59,PVO!A$5),ETAPP!A$1:A$32,0))&amp;INDEX(ETAPP!B$1:B$32,MATCH(COUNTIF(Z59:AI59,PVO!A$6),ETAPP!A$1:A$32,0))&amp;INDEX(ETAPP!B$1:B$32,MATCH(COUNTIF(Z59:AI59,PVO!A$7),ETAPP!A$1:A$32,0))&amp;INDEX(ETAPP!B$1:B$32,MATCH(COUNTIF(Z59:AI59,PVO!A$8),ETAPP!A$1:A$32,0))&amp;INDEX(ETAPP!B$1:B$32,MATCH(COUNTIF(Z59:AI59,PVO!A$9),ETAPP!A$1:A$32,0))&amp;INDEX(ETAPP!B$1:B$32,MATCH(COUNTIF(Z59:AI59,PVO!A$10),ETAPP!A$1:A$32,0))&amp;INDEX(ETAPP!B$1:B$32,MATCH(COUNTIF(Z59:AI59,PVO!A$11),ETAPP!A$1:A$32,0))&amp;INDEX(ETAPP!B$1:B$32,MATCH(COUNTIF(Z59:AI59,PVO!A$12),ETAPP!A$1:A$32,0))&amp;INDEX(ETAPP!B$1:B$32,MATCH(COUNTIF(Z59:AI59,PVO!A$13),ETAPP!A$1:A$32,0))&amp;INDEX(ETAPP!B$1:B$32,MATCH(COUNTIF(Z59:AI59,PVO!A$14),ETAPP!A$1:A$32,0))&amp;INDEX(ETAPP!B$1:B$32,MATCH(COUNTIF(Z59:AI59,PVO!A$15),ETAPP!A$1:A$32,0))&amp;INDEX(ETAPP!B$1:B$32,MATCH(COUNTIF(Z59:AI59,PVO!A$16),ETAPP!A$1:A$32,0))&amp;INDEX(ETAPP!B$1:B$32,MATCH(COUNTIF(Z59:AI59,PVO!A$17),ETAPP!A$1:A$32,0))&amp;INDEX(ETAPP!B$1:B$32,MATCH(COUNTIF(Z59:AI59,PVO!A$18),ETAPP!A$1:A$32,0))&amp;INDEX(ETAPP!B$1:B$32,MATCH(COUNTIF(Z59:AI59,PVO!A$19),ETAPP!A$1:A$32,0))</f>
        <v>00000000000A0000000</v>
      </c>
      <c r="T59" s="597" t="str">
        <f t="shared" si="5"/>
        <v>009,0-00000000000A0000000</v>
      </c>
      <c r="U59" s="597">
        <f>COUNTIF(T$7:T$62,"&gt;="&amp;T59)</f>
        <v>55</v>
      </c>
      <c r="V59" s="597">
        <f>COUNTIF(L$7:L$62,"&gt;="&amp;L59)</f>
        <v>29</v>
      </c>
      <c r="W59" s="597" t="str">
        <f t="shared" si="6"/>
        <v>009,0-00000000000A0000000-029</v>
      </c>
      <c r="X59" s="597">
        <f>COUNTIF(W$7:W$62,"&gt;="&amp;W59)</f>
        <v>53</v>
      </c>
      <c r="Y59" s="598">
        <f>RANK(X59,X$7:X$62,0)</f>
        <v>4</v>
      </c>
      <c r="Z59" s="599" t="str">
        <f>IFERROR(INDEX('V1'!C$300:C$400,MATCH("*"&amp;L59&amp;"*",'V1'!B$300:B$400,0)),"  ")</f>
        <v xml:space="preserve">  </v>
      </c>
      <c r="AA59" s="599" t="str">
        <f>IFERROR(INDEX('V2'!C$300:C$400,MATCH("*"&amp;L59&amp;"*",'V2'!B$300:B$400,0)),"  ")</f>
        <v xml:space="preserve">  </v>
      </c>
      <c r="AB59" s="599" t="str">
        <f>IFERROR(INDEX('V3'!C$300:C$400,MATCH("*"&amp;L59&amp;"*",'V3'!B$300:B$400,0)),"  ")</f>
        <v xml:space="preserve">  </v>
      </c>
      <c r="AC59" s="599" t="str">
        <f>IFERROR(INDEX('V4'!C$300:C$400,MATCH("*"&amp;L59&amp;"*",'V4'!B$300:B$400,0)),"  ")</f>
        <v xml:space="preserve">  </v>
      </c>
      <c r="AD59" s="599" t="str">
        <f>IFERROR(INDEX('V5'!C$300:C$400,MATCH("*"&amp;L59&amp;"*",'V5'!B$300:B$400,0)),"  ")</f>
        <v xml:space="preserve">  </v>
      </c>
      <c r="AE59" s="599" t="str">
        <f>IFERROR(INDEX('V6'!C$300:C$400,MATCH("*"&amp;L59&amp;"*",'V6'!B$300:B$400,0)),"  ")</f>
        <v xml:space="preserve">  </v>
      </c>
      <c r="AF59" s="599" t="str">
        <f>IFERROR(INDEX('V7'!C$300:C$400,MATCH("*"&amp;L59&amp;"*",'V7'!B$300:B$400,0)),"  ")</f>
        <v xml:space="preserve">  </v>
      </c>
      <c r="AG59" s="599" t="str">
        <f>IFERROR(INDEX('V8'!C$300:C$400,MATCH("*"&amp;L59&amp;"*",'V8'!B$300:B$400,0)),"  ")</f>
        <v xml:space="preserve">  </v>
      </c>
      <c r="AH59" s="599" t="str">
        <f>IFERROR(INDEX('V9'!C$300:C$400,MATCH("*"&amp;L59&amp;"*",'V9'!B$300:B$400,0)),"  ")</f>
        <v xml:space="preserve">  </v>
      </c>
      <c r="AI59" s="599">
        <f>IFERROR(INDEX('V10'!C$300:C$400,MATCH("*"&amp;L59&amp;"*",'V10'!B$300:B$400,0)),"  ")</f>
        <v>9</v>
      </c>
      <c r="AJ59" s="600">
        <f t="shared" si="7"/>
        <v>0</v>
      </c>
      <c r="AK59" s="600" t="str">
        <f t="shared" si="8"/>
        <v/>
      </c>
      <c r="AL59" s="601">
        <f>IFERROR("edasi "&amp;RANK(AK59,AK$7:AK$62,0),K59)</f>
        <v>52</v>
      </c>
      <c r="AM59" s="602" t="str">
        <f>IFERROR(INDEX('V-fin'!A$300:A$400,MATCH("*"&amp;L59&amp;"*",'V-fin'!B$300:B$400,0)),"  ")</f>
        <v xml:space="preserve">  </v>
      </c>
      <c r="AN59" s="603">
        <f t="shared" si="9"/>
        <v>1</v>
      </c>
      <c r="AO59" s="604">
        <f>IFERROR(IF(Z59+1&gt;LARGE(Z$7:Z$62,1)-2,1),0)+IFERROR(IF(AA59+1&gt;LARGE(AA$7:AA$62,1)-2,1),0)+IFERROR(IF(AB59+1&gt;LARGE(AB$7:AB$62,1)-2,1),0)+IFERROR(IF(AC59+1&gt;LARGE(AC$7:AC$62,1)-2,1),0)+IFERROR(IF(AD59+1&gt;LARGE(AD$7:AD$62,1)-2,1),0)+IFERROR(IF(AE59+1&gt;LARGE(AE$7:AE$62,1)-2,1),0)+IFERROR(IF(AF59+1&gt;LARGE(AF$7:AF$62,1)-2,1),0)+IFERROR(IF(AG59+1&gt;LARGE(AG$7:AG$62,1)-2,1),0)+IFERROR(IF(AH59+1&gt;LARGE(AH$7:AH$62,1)-2,1),0)+IFERROR(IF(AI59+1&gt;LARGE(AI$7:AI$62,1)-2,1),0)</f>
        <v>0</v>
      </c>
      <c r="AP59" s="604">
        <f>IF(Z59=0,0,IF(Z59=IFERROR(LARGE(Z$7:Z$62,1),0),1,0))+IF(AA59=0,0,IF(AA59=IFERROR(LARGE(AA$7:AA$62,1),0),1,0))+IF(AB59=0,0,IF(AB59=IFERROR(LARGE(AB$7:AB$62,1),0),1,0))+IF(AC59=0,0,IF(AC59=IFERROR(LARGE(AC$7:AC$62,1),0),1,0))+IF(AD59=0,0,IF(AD59=IFERROR(LARGE(AD$7:AD$62,1),0),1,0))+IF(AE59=0,0,IF(AE59=IFERROR(LARGE(AE$7:AE$62,1),0),1,0))+IF(AF59=0,0,IF(AF59=IFERROR(LARGE(AF$7:AF$62,1),0),1,0))+IF(AG59=0,0,IF(AG59=IFERROR(LARGE(AG$7:AG$62,1),0),1,0))+IF(AH59=0,0,IF(AH59=IFERROR(LARGE(AH$7:AH$62,1),0),1,0))+IF(AI59=0,0,IF(AI59=IFERROR(LARGE(AI$7:AI$62,1),0),1,0))</f>
        <v>0</v>
      </c>
      <c r="AQ59" s="512"/>
      <c r="AR59" s="605"/>
      <c r="AS59" s="606"/>
      <c r="AT59" s="606"/>
      <c r="AU59" s="606"/>
      <c r="AV59" s="606"/>
      <c r="AW59" s="605">
        <f t="shared" si="10"/>
        <v>1E-4</v>
      </c>
      <c r="AX59" s="606">
        <f t="shared" si="15"/>
        <v>1E-4</v>
      </c>
      <c r="AY59" s="606">
        <f t="shared" si="15"/>
        <v>2.0000000000000001E-4</v>
      </c>
      <c r="AZ59" s="606">
        <f t="shared" si="15"/>
        <v>2.9999999999999997E-4</v>
      </c>
      <c r="BA59" s="606">
        <f t="shared" si="15"/>
        <v>4.0000000000000002E-4</v>
      </c>
      <c r="BB59" s="606">
        <f t="shared" si="15"/>
        <v>5.0000000000000001E-4</v>
      </c>
      <c r="BC59" s="606">
        <f t="shared" si="14"/>
        <v>5.9999999999999995E-4</v>
      </c>
      <c r="BD59" s="606">
        <f t="shared" si="14"/>
        <v>6.9999999999999999E-4</v>
      </c>
      <c r="BE59" s="606">
        <f t="shared" si="14"/>
        <v>8.0000000000000004E-4</v>
      </c>
      <c r="BF59" s="606">
        <f t="shared" si="14"/>
        <v>8.9999999999999998E-4</v>
      </c>
      <c r="BG59" s="606">
        <f t="shared" si="14"/>
        <v>9.0009999999999994</v>
      </c>
    </row>
    <row r="60" spans="1:59" x14ac:dyDescent="0.2">
      <c r="A60" s="583" t="str">
        <f>IF(R60&gt;0,IF(Q60="v",RANK(B60,B$7:B$62,1)-COUNTBLANK(Q$7:Q$62),""),"")</f>
        <v/>
      </c>
      <c r="B60" s="584">
        <f t="shared" si="0"/>
        <v>-945</v>
      </c>
      <c r="C60" s="585" t="str">
        <f>IF(R60&gt;0,IF(P60="k",RANK(D60,D$7:D$62,1)-COUNTBLANK(P$7:P$62),""),"")</f>
        <v/>
      </c>
      <c r="D60" s="584">
        <f t="shared" si="1"/>
        <v>-945</v>
      </c>
      <c r="E60" s="586">
        <f>IF(R60&gt;0,IF(N60="m",RANK(F60,F$7:F$62,1)-COUNTBLANK(N$7:N$62),""),"")</f>
        <v>42</v>
      </c>
      <c r="F60" s="584">
        <f t="shared" si="2"/>
        <v>55</v>
      </c>
      <c r="G60" s="587" t="str">
        <f>IF(R60&gt;0,IF(M60="n",RANK(H60,H$7:H$62,1)-COUNTBLANK(M$7:M$62),""),"")</f>
        <v/>
      </c>
      <c r="H60" s="584">
        <f t="shared" si="3"/>
        <v>-945</v>
      </c>
      <c r="I60" s="588" t="str">
        <f>IF(R60&gt;0,IF(O60="j",RANK(J60,J$7:J$62,1)-COUNTBLANK(O$7:O$62),""),"")</f>
        <v/>
      </c>
      <c r="J60" s="589">
        <f t="shared" si="4"/>
        <v>-945</v>
      </c>
      <c r="K60" s="548">
        <f>IF(R60&gt;0,RANK(U60,U$7:U$62,1),"")</f>
        <v>52</v>
      </c>
      <c r="L60" s="609" t="s">
        <v>329</v>
      </c>
      <c r="M60" s="591"/>
      <c r="N60" s="592" t="s">
        <v>321</v>
      </c>
      <c r="O60" s="593"/>
      <c r="P60" s="629"/>
      <c r="Q60" s="631"/>
      <c r="R60" s="596">
        <f>(IF(COUNT(Z60,AA60,AB60,AC60,AD60,AE60,AF60,AG60,AH60,AI60)&lt;9,SUM(Z60,AA60,AB60,AC60,AD60,AE60,AF60,AG60,AH60,AI60),SUM(LARGE((Z60,AA60,AB60,AC60,AD60,AE60,AF60,AG60,AH60,AI60),{1;2;3;4;5;6;7;8;9}))))</f>
        <v>9</v>
      </c>
      <c r="S60" s="597" t="str">
        <f>INDEX(ETAPP!B$1:B$32,MATCH(COUNTIF(Z60:AI60,PVO!A$1),ETAPP!A$1:A$32,0))&amp;INDEX(ETAPP!B$1:B$32,MATCH(COUNTIF(Z60:AI60,PVO!A$2),ETAPP!A$1:A$32,0))&amp;INDEX(ETAPP!B$1:B$32,MATCH(COUNTIF(Z60:AI60,PVO!A$3),ETAPP!A$1:A$32,0))&amp;INDEX(ETAPP!B$1:B$32,MATCH(COUNTIF(Z60:AI60,PVO!A$4),ETAPP!A$1:A$32,0))&amp;INDEX(ETAPP!B$1:B$32,MATCH(COUNTIF(Z60:AI60,PVO!A$5),ETAPP!A$1:A$32,0))&amp;INDEX(ETAPP!B$1:B$32,MATCH(COUNTIF(Z60:AI60,PVO!A$6),ETAPP!A$1:A$32,0))&amp;INDEX(ETAPP!B$1:B$32,MATCH(COUNTIF(Z60:AI60,PVO!A$7),ETAPP!A$1:A$32,0))&amp;INDEX(ETAPP!B$1:B$32,MATCH(COUNTIF(Z60:AI60,PVO!A$8),ETAPP!A$1:A$32,0))&amp;INDEX(ETAPP!B$1:B$32,MATCH(COUNTIF(Z60:AI60,PVO!A$9),ETAPP!A$1:A$32,0))&amp;INDEX(ETAPP!B$1:B$32,MATCH(COUNTIF(Z60:AI60,PVO!A$10),ETAPP!A$1:A$32,0))&amp;INDEX(ETAPP!B$1:B$32,MATCH(COUNTIF(Z60:AI60,PVO!A$11),ETAPP!A$1:A$32,0))&amp;INDEX(ETAPP!B$1:B$32,MATCH(COUNTIF(Z60:AI60,PVO!A$12),ETAPP!A$1:A$32,0))&amp;INDEX(ETAPP!B$1:B$32,MATCH(COUNTIF(Z60:AI60,PVO!A$13),ETAPP!A$1:A$32,0))&amp;INDEX(ETAPP!B$1:B$32,MATCH(COUNTIF(Z60:AI60,PVO!A$14),ETAPP!A$1:A$32,0))&amp;INDEX(ETAPP!B$1:B$32,MATCH(COUNTIF(Z60:AI60,PVO!A$15),ETAPP!A$1:A$32,0))&amp;INDEX(ETAPP!B$1:B$32,MATCH(COUNTIF(Z60:AI60,PVO!A$16),ETAPP!A$1:A$32,0))&amp;INDEX(ETAPP!B$1:B$32,MATCH(COUNTIF(Z60:AI60,PVO!A$17),ETAPP!A$1:A$32,0))&amp;INDEX(ETAPP!B$1:B$32,MATCH(COUNTIF(Z60:AI60,PVO!A$18),ETAPP!A$1:A$32,0))&amp;INDEX(ETAPP!B$1:B$32,MATCH(COUNTIF(Z60:AI60,PVO!A$19),ETAPP!A$1:A$32,0))</f>
        <v>00000000000A0000000</v>
      </c>
      <c r="T60" s="597" t="str">
        <f t="shared" si="5"/>
        <v>009,0-00000000000A0000000</v>
      </c>
      <c r="U60" s="597">
        <f>COUNTIF(T$7:T$62,"&gt;="&amp;T60)</f>
        <v>55</v>
      </c>
      <c r="V60" s="597">
        <f>COUNTIF(L$7:L$62,"&gt;="&amp;L60)</f>
        <v>17</v>
      </c>
      <c r="W60" s="597" t="str">
        <f t="shared" si="6"/>
        <v>009,0-00000000000A0000000-017</v>
      </c>
      <c r="X60" s="597">
        <f>COUNTIF(W$7:W$62,"&gt;="&amp;W60)</f>
        <v>54</v>
      </c>
      <c r="Y60" s="598">
        <f>RANK(X60,X$7:X$62,0)</f>
        <v>3</v>
      </c>
      <c r="Z60" s="599" t="str">
        <f>IFERROR(INDEX('V1'!C$300:C$400,MATCH("*"&amp;L60&amp;"*",'V1'!B$300:B$400,0)),"  ")</f>
        <v xml:space="preserve">  </v>
      </c>
      <c r="AA60" s="599" t="str">
        <f>IFERROR(INDEX('V2'!C$300:C$400,MATCH("*"&amp;L60&amp;"*",'V2'!B$300:B$400,0)),"  ")</f>
        <v xml:space="preserve">  </v>
      </c>
      <c r="AB60" s="599" t="str">
        <f>IFERROR(INDEX('V3'!C$300:C$400,MATCH("*"&amp;L60&amp;"*",'V3'!B$300:B$400,0)),"  ")</f>
        <v xml:space="preserve">  </v>
      </c>
      <c r="AC60" s="599" t="str">
        <f>IFERROR(INDEX('V4'!C$300:C$400,MATCH("*"&amp;L60&amp;"*",'V4'!B$300:B$400,0)),"  ")</f>
        <v xml:space="preserve">  </v>
      </c>
      <c r="AD60" s="599" t="str">
        <f>IFERROR(INDEX('V5'!C$300:C$400,MATCH("*"&amp;L60&amp;"*",'V5'!B$300:B$400,0)),"  ")</f>
        <v xml:space="preserve">  </v>
      </c>
      <c r="AE60" s="599" t="str">
        <f>IFERROR(INDEX('V6'!C$300:C$400,MATCH("*"&amp;L60&amp;"*",'V6'!B$300:B$400,0)),"  ")</f>
        <v xml:space="preserve">  </v>
      </c>
      <c r="AF60" s="599" t="str">
        <f>IFERROR(INDEX('V7'!C$300:C$400,MATCH("*"&amp;L60&amp;"*",'V7'!B$300:B$400,0)),"  ")</f>
        <v xml:space="preserve">  </v>
      </c>
      <c r="AG60" s="599">
        <f>IFERROR(INDEX('V8'!C$300:C$400,MATCH("*"&amp;L60&amp;"*",'V8'!B$300:B$400,0)),"  ")</f>
        <v>9</v>
      </c>
      <c r="AH60" s="599" t="str">
        <f>IFERROR(INDEX('V9'!C$300:C$400,MATCH("*"&amp;L60&amp;"*",'V9'!B$300:B$400,0)),"  ")</f>
        <v xml:space="preserve">  </v>
      </c>
      <c r="AI60" s="599" t="str">
        <f>IFERROR(INDEX('V10'!C$300:C$400,MATCH("*"&amp;L60&amp;"*",'V10'!B$300:B$400,0)),"  ")</f>
        <v xml:space="preserve">  </v>
      </c>
      <c r="AJ60" s="600">
        <f t="shared" si="7"/>
        <v>0</v>
      </c>
      <c r="AK60" s="600" t="str">
        <f t="shared" si="8"/>
        <v/>
      </c>
      <c r="AL60" s="601">
        <f>IFERROR("edasi "&amp;RANK(AK60,AK$7:AK$62,0),K60)</f>
        <v>52</v>
      </c>
      <c r="AM60" s="602" t="str">
        <f>IFERROR(INDEX('V-fin'!A$300:A$400,MATCH("*"&amp;L60&amp;"*",'V-fin'!B$300:B$400,0)),"  ")</f>
        <v xml:space="preserve">  </v>
      </c>
      <c r="AN60" s="603">
        <f t="shared" si="9"/>
        <v>1</v>
      </c>
      <c r="AO60" s="604">
        <f>IFERROR(IF(Z60+1&gt;LARGE(Z$7:Z$62,1)-2,1),0)+IFERROR(IF(AA60+1&gt;LARGE(AA$7:AA$62,1)-2,1),0)+IFERROR(IF(AB60+1&gt;LARGE(AB$7:AB$62,1)-2,1),0)+IFERROR(IF(AC60+1&gt;LARGE(AC$7:AC$62,1)-2,1),0)+IFERROR(IF(AD60+1&gt;LARGE(AD$7:AD$62,1)-2,1),0)+IFERROR(IF(AE60+1&gt;LARGE(AE$7:AE$62,1)-2,1),0)+IFERROR(IF(AF60+1&gt;LARGE(AF$7:AF$62,1)-2,1),0)+IFERROR(IF(AG60+1&gt;LARGE(AG$7:AG$62,1)-2,1),0)+IFERROR(IF(AH60+1&gt;LARGE(AH$7:AH$62,1)-2,1),0)+IFERROR(IF(AI60+1&gt;LARGE(AI$7:AI$62,1)-2,1),0)</f>
        <v>0</v>
      </c>
      <c r="AP60" s="604">
        <f>IF(Z60=0,0,IF(Z60=IFERROR(LARGE(Z$7:Z$62,1),0),1,0))+IF(AA60=0,0,IF(AA60=IFERROR(LARGE(AA$7:AA$62,1),0),1,0))+IF(AB60=0,0,IF(AB60=IFERROR(LARGE(AB$7:AB$62,1),0),1,0))+IF(AC60=0,0,IF(AC60=IFERROR(LARGE(AC$7:AC$62,1),0),1,0))+IF(AD60=0,0,IF(AD60=IFERROR(LARGE(AD$7:AD$62,1),0),1,0))+IF(AE60=0,0,IF(AE60=IFERROR(LARGE(AE$7:AE$62,1),0),1,0))+IF(AF60=0,0,IF(AF60=IFERROR(LARGE(AF$7:AF$62,1),0),1,0))+IF(AG60=0,0,IF(AG60=IFERROR(LARGE(AG$7:AG$62,1),0),1,0))+IF(AH60=0,0,IF(AH60=IFERROR(LARGE(AH$7:AH$62,1),0),1,0))+IF(AI60=0,0,IF(AI60=IFERROR(LARGE(AI$7:AI$62,1),0),1,0))</f>
        <v>0</v>
      </c>
      <c r="AQ60" s="512"/>
      <c r="AR60" s="605"/>
      <c r="AS60" s="606"/>
      <c r="AT60" s="606"/>
      <c r="AU60" s="606"/>
      <c r="AV60" s="606"/>
      <c r="AW60" s="605">
        <f t="shared" si="10"/>
        <v>1E-4</v>
      </c>
      <c r="AX60" s="606">
        <f t="shared" si="15"/>
        <v>1E-4</v>
      </c>
      <c r="AY60" s="606">
        <f t="shared" si="15"/>
        <v>2.0000000000000001E-4</v>
      </c>
      <c r="AZ60" s="606">
        <f t="shared" si="15"/>
        <v>2.9999999999999997E-4</v>
      </c>
      <c r="BA60" s="606">
        <f t="shared" si="15"/>
        <v>4.0000000000000002E-4</v>
      </c>
      <c r="BB60" s="606">
        <f t="shared" si="15"/>
        <v>5.0000000000000001E-4</v>
      </c>
      <c r="BC60" s="606">
        <f t="shared" si="14"/>
        <v>5.9999999999999995E-4</v>
      </c>
      <c r="BD60" s="606">
        <f t="shared" si="14"/>
        <v>6.9999999999999999E-4</v>
      </c>
      <c r="BE60" s="606">
        <f t="shared" si="14"/>
        <v>9.0007999999999999</v>
      </c>
      <c r="BF60" s="606">
        <f t="shared" si="14"/>
        <v>8.9999999999999998E-4</v>
      </c>
      <c r="BG60" s="606">
        <f t="shared" si="14"/>
        <v>1E-3</v>
      </c>
    </row>
    <row r="61" spans="1:59" x14ac:dyDescent="0.2">
      <c r="A61" s="583" t="str">
        <f>IF(R61&gt;0,IF(Q61="v",RANK(B61,B$7:B$62,1)-COUNTBLANK(Q$7:Q$62),""),"")</f>
        <v/>
      </c>
      <c r="B61" s="584">
        <f t="shared" si="0"/>
        <v>-945</v>
      </c>
      <c r="C61" s="585">
        <f>IF(R61&gt;0,IF(P61="k",RANK(D61,D$7:D$62,1)-COUNTBLANK(P$7:P$62),""),"")</f>
        <v>15</v>
      </c>
      <c r="D61" s="584">
        <f t="shared" si="1"/>
        <v>55</v>
      </c>
      <c r="E61" s="586">
        <f>IF(R61&gt;0,IF(N61="m",RANK(F61,F$7:F$62,1)-COUNTBLANK(N$7:N$62),""),"")</f>
        <v>42</v>
      </c>
      <c r="F61" s="584">
        <f t="shared" si="2"/>
        <v>55</v>
      </c>
      <c r="G61" s="587" t="str">
        <f>IF(R61&gt;0,IF(M61="n",RANK(H61,H$7:H$62,1)-COUNTBLANK(M$7:M$62),""),"")</f>
        <v/>
      </c>
      <c r="H61" s="584">
        <f t="shared" si="3"/>
        <v>-945</v>
      </c>
      <c r="I61" s="588" t="str">
        <f>IF(R61&gt;0,IF(O61="j",RANK(J61,J$7:J$62,1)-COUNTBLANK(O$7:O$62),""),"")</f>
        <v/>
      </c>
      <c r="J61" s="589">
        <f t="shared" si="4"/>
        <v>-945</v>
      </c>
      <c r="K61" s="548">
        <f>IF(R61&gt;0,RANK(U61,U$7:U$62,1),"")</f>
        <v>52</v>
      </c>
      <c r="L61" s="609" t="s">
        <v>283</v>
      </c>
      <c r="M61" s="591"/>
      <c r="N61" s="592" t="str">
        <f>IF(M61="","m","")</f>
        <v>m</v>
      </c>
      <c r="O61" s="593"/>
      <c r="P61" s="594" t="s">
        <v>320</v>
      </c>
      <c r="Q61" s="595"/>
      <c r="R61" s="596">
        <f>(IF(COUNT(Z61,AA61,AB61,AC61,AD61,AE61,AF61,AG61,AH61,AI61)&lt;9,SUM(Z61,AA61,AB61,AC61,AD61,AE61,AF61,AG61,AH61,AI61),SUM(LARGE((Z61,AA61,AB61,AC61,AD61,AE61,AF61,AG61,AH61,AI61),{1;2;3;4;5;6;7;8;9}))))</f>
        <v>9</v>
      </c>
      <c r="S61" s="597" t="str">
        <f>INDEX(ETAPP!B$1:B$32,MATCH(COUNTIF(Z61:AI61,PVO!A$1),ETAPP!A$1:A$32,0))&amp;INDEX(ETAPP!B$1:B$32,MATCH(COUNTIF(Z61:AI61,PVO!A$2),ETAPP!A$1:A$32,0))&amp;INDEX(ETAPP!B$1:B$32,MATCH(COUNTIF(Z61:AI61,PVO!A$3),ETAPP!A$1:A$32,0))&amp;INDEX(ETAPP!B$1:B$32,MATCH(COUNTIF(Z61:AI61,PVO!A$4),ETAPP!A$1:A$32,0))&amp;INDEX(ETAPP!B$1:B$32,MATCH(COUNTIF(Z61:AI61,PVO!A$5),ETAPP!A$1:A$32,0))&amp;INDEX(ETAPP!B$1:B$32,MATCH(COUNTIF(Z61:AI61,PVO!A$6),ETAPP!A$1:A$32,0))&amp;INDEX(ETAPP!B$1:B$32,MATCH(COUNTIF(Z61:AI61,PVO!A$7),ETAPP!A$1:A$32,0))&amp;INDEX(ETAPP!B$1:B$32,MATCH(COUNTIF(Z61:AI61,PVO!A$8),ETAPP!A$1:A$32,0))&amp;INDEX(ETAPP!B$1:B$32,MATCH(COUNTIF(Z61:AI61,PVO!A$9),ETAPP!A$1:A$32,0))&amp;INDEX(ETAPP!B$1:B$32,MATCH(COUNTIF(Z61:AI61,PVO!A$10),ETAPP!A$1:A$32,0))&amp;INDEX(ETAPP!B$1:B$32,MATCH(COUNTIF(Z61:AI61,PVO!A$11),ETAPP!A$1:A$32,0))&amp;INDEX(ETAPP!B$1:B$32,MATCH(COUNTIF(Z61:AI61,PVO!A$12),ETAPP!A$1:A$32,0))&amp;INDEX(ETAPP!B$1:B$32,MATCH(COUNTIF(Z61:AI61,PVO!A$13),ETAPP!A$1:A$32,0))&amp;INDEX(ETAPP!B$1:B$32,MATCH(COUNTIF(Z61:AI61,PVO!A$14),ETAPP!A$1:A$32,0))&amp;INDEX(ETAPP!B$1:B$32,MATCH(COUNTIF(Z61:AI61,PVO!A$15),ETAPP!A$1:A$32,0))&amp;INDEX(ETAPP!B$1:B$32,MATCH(COUNTIF(Z61:AI61,PVO!A$16),ETAPP!A$1:A$32,0))&amp;INDEX(ETAPP!B$1:B$32,MATCH(COUNTIF(Z61:AI61,PVO!A$17),ETAPP!A$1:A$32,0))&amp;INDEX(ETAPP!B$1:B$32,MATCH(COUNTIF(Z61:AI61,PVO!A$18),ETAPP!A$1:A$32,0))&amp;INDEX(ETAPP!B$1:B$32,MATCH(COUNTIF(Z61:AI61,PVO!A$19),ETAPP!A$1:A$32,0))</f>
        <v>00000000000A0000000</v>
      </c>
      <c r="T61" s="597" t="str">
        <f t="shared" si="5"/>
        <v>009,0-00000000000A0000000</v>
      </c>
      <c r="U61" s="597">
        <f>COUNTIF(T$7:T$62,"&gt;="&amp;T61)</f>
        <v>55</v>
      </c>
      <c r="V61" s="597">
        <f>COUNTIF(L$7:L$62,"&gt;="&amp;L61)</f>
        <v>1</v>
      </c>
      <c r="W61" s="597" t="str">
        <f t="shared" si="6"/>
        <v>009,0-00000000000A0000000-001</v>
      </c>
      <c r="X61" s="597">
        <f>COUNTIF(W$7:W$62,"&gt;="&amp;W61)</f>
        <v>55</v>
      </c>
      <c r="Y61" s="598">
        <f>RANK(X61,X$7:X$62,0)</f>
        <v>2</v>
      </c>
      <c r="Z61" s="599" t="str">
        <f>IFERROR(INDEX('V1'!C$300:C$400,MATCH("*"&amp;L61&amp;"*",'V1'!B$300:B$400,0)),"  ")</f>
        <v xml:space="preserve">  </v>
      </c>
      <c r="AA61" s="599">
        <f>IFERROR(INDEX('V2'!C$300:C$400,MATCH("*"&amp;L61&amp;"*",'V2'!B$300:B$400,0)),"  ")</f>
        <v>9</v>
      </c>
      <c r="AB61" s="599" t="str">
        <f>IFERROR(INDEX('V3'!C$300:C$400,MATCH("*"&amp;L61&amp;"*",'V3'!B$300:B$400,0)),"  ")</f>
        <v xml:space="preserve">  </v>
      </c>
      <c r="AC61" s="599" t="str">
        <f>IFERROR(INDEX('V4'!C$300:C$400,MATCH("*"&amp;L61&amp;"*",'V4'!B$300:B$400,0)),"  ")</f>
        <v xml:space="preserve">  </v>
      </c>
      <c r="AD61" s="599" t="str">
        <f>IFERROR(INDEX('V5'!C$300:C$400,MATCH("*"&amp;L61&amp;"*",'V5'!B$300:B$400,0)),"  ")</f>
        <v xml:space="preserve">  </v>
      </c>
      <c r="AE61" s="599" t="str">
        <f>IFERROR(INDEX('V6'!C$300:C$400,MATCH("*"&amp;L61&amp;"*",'V6'!B$300:B$400,0)),"  ")</f>
        <v xml:space="preserve">  </v>
      </c>
      <c r="AF61" s="599" t="str">
        <f>IFERROR(INDEX('V7'!C$300:C$400,MATCH("*"&amp;L61&amp;"*",'V7'!B$300:B$400,0)),"  ")</f>
        <v xml:space="preserve">  </v>
      </c>
      <c r="AG61" s="599" t="str">
        <f>IFERROR(INDEX('V8'!C$300:C$400,MATCH("*"&amp;L61&amp;"*",'V8'!B$300:B$400,0)),"  ")</f>
        <v xml:space="preserve">  </v>
      </c>
      <c r="AH61" s="599" t="str">
        <f>IFERROR(INDEX('V9'!C$300:C$400,MATCH("*"&amp;L61&amp;"*",'V9'!B$300:B$400,0)),"  ")</f>
        <v xml:space="preserve">  </v>
      </c>
      <c r="AI61" s="599" t="str">
        <f>IFERROR(INDEX('V10'!C$300:C$400,MATCH("*"&amp;L61&amp;"*",'V10'!B$300:B$400,0)),"  ")</f>
        <v xml:space="preserve">  </v>
      </c>
      <c r="AJ61" s="600">
        <f t="shared" si="7"/>
        <v>0</v>
      </c>
      <c r="AK61" s="600" t="str">
        <f t="shared" si="8"/>
        <v/>
      </c>
      <c r="AL61" s="601">
        <f>IFERROR("edasi "&amp;RANK(AK61,AK$7:AK$62,0),K61)</f>
        <v>52</v>
      </c>
      <c r="AM61" s="602" t="str">
        <f>IFERROR(INDEX('V-fin'!A$300:A$400,MATCH("*"&amp;L61&amp;"*",'V-fin'!B$300:B$400,0)),"  ")</f>
        <v xml:space="preserve">  </v>
      </c>
      <c r="AN61" s="603">
        <f t="shared" si="9"/>
        <v>1</v>
      </c>
      <c r="AO61" s="604">
        <f>IFERROR(IF(Z61+1&gt;LARGE(Z$7:Z$62,1)-2,1),0)+IFERROR(IF(AA61+1&gt;LARGE(AA$7:AA$62,1)-2,1),0)+IFERROR(IF(AB61+1&gt;LARGE(AB$7:AB$62,1)-2,1),0)+IFERROR(IF(AC61+1&gt;LARGE(AC$7:AC$62,1)-2,1),0)+IFERROR(IF(AD61+1&gt;LARGE(AD$7:AD$62,1)-2,1),0)+IFERROR(IF(AE61+1&gt;LARGE(AE$7:AE$62,1)-2,1),0)+IFERROR(IF(AF61+1&gt;LARGE(AF$7:AF$62,1)-2,1),0)+IFERROR(IF(AG61+1&gt;LARGE(AG$7:AG$62,1)-2,1),0)+IFERROR(IF(AH61+1&gt;LARGE(AH$7:AH$62,1)-2,1),0)+IFERROR(IF(AI61+1&gt;LARGE(AI$7:AI$62,1)-2,1),0)</f>
        <v>0</v>
      </c>
      <c r="AP61" s="604">
        <f>IF(Z61=0,0,IF(Z61=IFERROR(LARGE(Z$7:Z$62,1),0),1,0))+IF(AA61=0,0,IF(AA61=IFERROR(LARGE(AA$7:AA$62,1),0),1,0))+IF(AB61=0,0,IF(AB61=IFERROR(LARGE(AB$7:AB$62,1),0),1,0))+IF(AC61=0,0,IF(AC61=IFERROR(LARGE(AC$7:AC$62,1),0),1,0))+IF(AD61=0,0,IF(AD61=IFERROR(LARGE(AD$7:AD$62,1),0),1,0))+IF(AE61=0,0,IF(AE61=IFERROR(LARGE(AE$7:AE$62,1),0),1,0))+IF(AF61=0,0,IF(AF61=IFERROR(LARGE(AF$7:AF$62,1),0),1,0))+IF(AG61=0,0,IF(AG61=IFERROR(LARGE(AG$7:AG$62,1),0),1,0))+IF(AH61=0,0,IF(AH61=IFERROR(LARGE(AH$7:AH$62,1),0),1,0))+IF(AI61=0,0,IF(AI61=IFERROR(LARGE(AI$7:AI$62,1),0),1,0))</f>
        <v>0</v>
      </c>
      <c r="AQ61" s="512"/>
      <c r="AR61" s="605"/>
      <c r="AS61" s="606"/>
      <c r="AT61" s="606"/>
      <c r="AU61" s="606"/>
      <c r="AV61" s="606"/>
      <c r="AW61" s="605">
        <f t="shared" si="10"/>
        <v>1E-4</v>
      </c>
      <c r="AX61" s="606">
        <f t="shared" si="15"/>
        <v>1E-4</v>
      </c>
      <c r="AY61" s="606">
        <f t="shared" si="15"/>
        <v>9.0001999999999995</v>
      </c>
      <c r="AZ61" s="606">
        <f t="shared" si="15"/>
        <v>2.9999999999999997E-4</v>
      </c>
      <c r="BA61" s="606">
        <f t="shared" si="15"/>
        <v>4.0000000000000002E-4</v>
      </c>
      <c r="BB61" s="606">
        <f t="shared" si="15"/>
        <v>5.0000000000000001E-4</v>
      </c>
      <c r="BC61" s="606">
        <f t="shared" si="14"/>
        <v>5.9999999999999995E-4</v>
      </c>
      <c r="BD61" s="606">
        <f t="shared" si="14"/>
        <v>6.9999999999999999E-4</v>
      </c>
      <c r="BE61" s="606">
        <f t="shared" si="14"/>
        <v>8.0000000000000004E-4</v>
      </c>
      <c r="BF61" s="606">
        <f t="shared" si="14"/>
        <v>8.9999999999999998E-4</v>
      </c>
      <c r="BG61" s="606">
        <f t="shared" si="14"/>
        <v>1E-3</v>
      </c>
    </row>
    <row r="62" spans="1:59" x14ac:dyDescent="0.2">
      <c r="A62" s="583" t="str">
        <f>IF(R62&gt;0,IF(Q62="v",RANK(B62,B$7:B$62,1)-COUNTBLANK(Q$7:Q$62),""),"")</f>
        <v/>
      </c>
      <c r="B62" s="584">
        <f t="shared" si="0"/>
        <v>-944</v>
      </c>
      <c r="C62" s="585" t="str">
        <f>IF(R62&gt;0,IF(P62="k",RANK(D62,D$7:D$62,1)-COUNTBLANK(P$7:P$62),""),"")</f>
        <v/>
      </c>
      <c r="D62" s="584">
        <f t="shared" si="1"/>
        <v>-944</v>
      </c>
      <c r="E62" s="586">
        <f>IF(R62&gt;0,IF(N62="m",RANK(F62,F$7:F$62,1)-COUNTBLANK(N$7:N$62),""),"")</f>
        <v>44</v>
      </c>
      <c r="F62" s="584">
        <f t="shared" si="2"/>
        <v>56</v>
      </c>
      <c r="G62" s="587" t="str">
        <f>IF(R62&gt;0,IF(M62="n",RANK(H62,H$7:H$62,1)-COUNTBLANK(M$7:M$62),""),"")</f>
        <v/>
      </c>
      <c r="H62" s="584">
        <f t="shared" si="3"/>
        <v>-944</v>
      </c>
      <c r="I62" s="588" t="str">
        <f>IF(R62&gt;0,IF(O62="j",RANK(J62,J$7:J$62,1)-COUNTBLANK(O$7:O$62),""),"")</f>
        <v/>
      </c>
      <c r="J62" s="589">
        <f t="shared" si="4"/>
        <v>-944</v>
      </c>
      <c r="K62" s="548">
        <f>IF(R62&gt;0,RANK(U62,U$7:U$62,1),"")</f>
        <v>56</v>
      </c>
      <c r="L62" s="607" t="s">
        <v>280</v>
      </c>
      <c r="M62" s="591"/>
      <c r="N62" s="592" t="s">
        <v>321</v>
      </c>
      <c r="O62" s="593"/>
      <c r="P62" s="629"/>
      <c r="Q62" s="631"/>
      <c r="R62" s="596">
        <f>(IF(COUNT(Z62,AA62,AB62,AC62,AD62,AE62,AF62,AG62,AH62,AI62)&lt;9,SUM(Z62,AA62,AB62,AC62,AD62,AE62,AF62,AG62,AH62,AI62),SUM(LARGE((Z62,AA62,AB62,AC62,AD62,AE62,AF62,AG62,AH62,AI62),{1;2;3;4;5;6;7;8;9}))))</f>
        <v>7</v>
      </c>
      <c r="S62" s="597" t="str">
        <f>INDEX(ETAPP!B$1:B$32,MATCH(COUNTIF(Z62:AI62,PVO!A$1),ETAPP!A$1:A$32,0))&amp;INDEX(ETAPP!B$1:B$32,MATCH(COUNTIF(Z62:AI62,PVO!A$2),ETAPP!A$1:A$32,0))&amp;INDEX(ETAPP!B$1:B$32,MATCH(COUNTIF(Z62:AI62,PVO!A$3),ETAPP!A$1:A$32,0))&amp;INDEX(ETAPP!B$1:B$32,MATCH(COUNTIF(Z62:AI62,PVO!A$4),ETAPP!A$1:A$32,0))&amp;INDEX(ETAPP!B$1:B$32,MATCH(COUNTIF(Z62:AI62,PVO!A$5),ETAPP!A$1:A$32,0))&amp;INDEX(ETAPP!B$1:B$32,MATCH(COUNTIF(Z62:AI62,PVO!A$6),ETAPP!A$1:A$32,0))&amp;INDEX(ETAPP!B$1:B$32,MATCH(COUNTIF(Z62:AI62,PVO!A$7),ETAPP!A$1:A$32,0))&amp;INDEX(ETAPP!B$1:B$32,MATCH(COUNTIF(Z62:AI62,PVO!A$8),ETAPP!A$1:A$32,0))&amp;INDEX(ETAPP!B$1:B$32,MATCH(COUNTIF(Z62:AI62,PVO!A$9),ETAPP!A$1:A$32,0))&amp;INDEX(ETAPP!B$1:B$32,MATCH(COUNTIF(Z62:AI62,PVO!A$10),ETAPP!A$1:A$32,0))&amp;INDEX(ETAPP!B$1:B$32,MATCH(COUNTIF(Z62:AI62,PVO!A$11),ETAPP!A$1:A$32,0))&amp;INDEX(ETAPP!B$1:B$32,MATCH(COUNTIF(Z62:AI62,PVO!A$12),ETAPP!A$1:A$32,0))&amp;INDEX(ETAPP!B$1:B$32,MATCH(COUNTIF(Z62:AI62,PVO!A$13),ETAPP!A$1:A$32,0))&amp;INDEX(ETAPP!B$1:B$32,MATCH(COUNTIF(Z62:AI62,PVO!A$14),ETAPP!A$1:A$32,0))&amp;INDEX(ETAPP!B$1:B$32,MATCH(COUNTIF(Z62:AI62,PVO!A$15),ETAPP!A$1:A$32,0))&amp;INDEX(ETAPP!B$1:B$32,MATCH(COUNTIF(Z62:AI62,PVO!A$16),ETAPP!A$1:A$32,0))&amp;INDEX(ETAPP!B$1:B$32,MATCH(COUNTIF(Z62:AI62,PVO!A$17),ETAPP!A$1:A$32,0))&amp;INDEX(ETAPP!B$1:B$32,MATCH(COUNTIF(Z62:AI62,PVO!A$18),ETAPP!A$1:A$32,0))&amp;INDEX(ETAPP!B$1:B$32,MATCH(COUNTIF(Z62:AI62,PVO!A$19),ETAPP!A$1:A$32,0))</f>
        <v>0000000000000A00000</v>
      </c>
      <c r="T62" s="597" t="str">
        <f t="shared" si="5"/>
        <v>007,0-0000000000000A00000</v>
      </c>
      <c r="U62" s="597">
        <f>COUNTIF(T$7:T$62,"&gt;="&amp;T62)</f>
        <v>56</v>
      </c>
      <c r="V62" s="597">
        <f>COUNTIF(L$7:L$62,"&gt;="&amp;L62)</f>
        <v>36</v>
      </c>
      <c r="W62" s="597" t="str">
        <f t="shared" si="6"/>
        <v>007,0-0000000000000A00000-036</v>
      </c>
      <c r="X62" s="597">
        <f>COUNTIF(W$7:W$62,"&gt;="&amp;W62)</f>
        <v>56</v>
      </c>
      <c r="Y62" s="598">
        <f>RANK(X62,X$7:X$62,0)</f>
        <v>1</v>
      </c>
      <c r="Z62" s="599" t="str">
        <f>IFERROR(INDEX('V1'!C$300:C$400,MATCH("*"&amp;L62&amp;"*",'V1'!B$300:B$400,0)),"  ")</f>
        <v xml:space="preserve">  </v>
      </c>
      <c r="AA62" s="599" t="str">
        <f>IFERROR(INDEX('V2'!C$300:C$400,MATCH("*"&amp;L62&amp;"*",'V2'!B$300:B$400,0)),"  ")</f>
        <v xml:space="preserve">  </v>
      </c>
      <c r="AB62" s="599" t="str">
        <f>IFERROR(INDEX('V3'!C$300:C$400,MATCH("*"&amp;L62&amp;"*",'V3'!B$300:B$400,0)),"  ")</f>
        <v xml:space="preserve">  </v>
      </c>
      <c r="AC62" s="599" t="str">
        <f>IFERROR(INDEX('V4'!C$300:C$400,MATCH("*"&amp;L62&amp;"*",'V4'!B$300:B$400,0)),"  ")</f>
        <v xml:space="preserve">  </v>
      </c>
      <c r="AD62" s="599" t="str">
        <f>IFERROR(INDEX('V5'!C$300:C$400,MATCH("*"&amp;L62&amp;"*",'V5'!B$300:B$400,0)),"  ")</f>
        <v xml:space="preserve">  </v>
      </c>
      <c r="AE62" s="599">
        <f>IFERROR(INDEX('V6'!C$300:C$400,MATCH("*"&amp;L62&amp;"*",'V6'!B$300:B$400,0)),"  ")</f>
        <v>7</v>
      </c>
      <c r="AF62" s="599" t="str">
        <f>IFERROR(INDEX('V7'!C$300:C$400,MATCH("*"&amp;L62&amp;"*",'V7'!B$300:B$400,0)),"  ")</f>
        <v xml:space="preserve">  </v>
      </c>
      <c r="AG62" s="599" t="str">
        <f>IFERROR(INDEX('V8'!C$300:C$400,MATCH("*"&amp;L62&amp;"*",'V8'!B$300:B$400,0)),"  ")</f>
        <v xml:space="preserve">  </v>
      </c>
      <c r="AH62" s="599" t="str">
        <f>IFERROR(INDEX('V9'!C$300:C$400,MATCH("*"&amp;L62&amp;"*",'V9'!B$300:B$400,0)),"  ")</f>
        <v xml:space="preserve">  </v>
      </c>
      <c r="AI62" s="599" t="str">
        <f>IFERROR(INDEX('V10'!C$300:C$400,MATCH("*"&amp;L62&amp;"*",'V10'!B$300:B$400,0)),"  ")</f>
        <v xml:space="preserve">  </v>
      </c>
      <c r="AJ62" s="600">
        <f t="shared" si="7"/>
        <v>0</v>
      </c>
      <c r="AK62" s="600" t="str">
        <f t="shared" si="8"/>
        <v/>
      </c>
      <c r="AL62" s="601">
        <f>IFERROR("edasi "&amp;RANK(AK62,AK$7:AK$62,0),K62)</f>
        <v>56</v>
      </c>
      <c r="AM62" s="602" t="str">
        <f>IFERROR(INDEX('V-fin'!A$300:A$400,MATCH("*"&amp;L62&amp;"*",'V-fin'!B$300:B$400,0)),"  ")</f>
        <v xml:space="preserve">  </v>
      </c>
      <c r="AN62" s="603">
        <f t="shared" si="9"/>
        <v>1</v>
      </c>
      <c r="AO62" s="604">
        <f>IFERROR(IF(Z62+1&gt;LARGE(Z$7:Z$62,1)-2,1),0)+IFERROR(IF(AA62+1&gt;LARGE(AA$7:AA$62,1)-2,1),0)+IFERROR(IF(AB62+1&gt;LARGE(AB$7:AB$62,1)-2,1),0)+IFERROR(IF(AC62+1&gt;LARGE(AC$7:AC$62,1)-2,1),0)+IFERROR(IF(AD62+1&gt;LARGE(AD$7:AD$62,1)-2,1),0)+IFERROR(IF(AE62+1&gt;LARGE(AE$7:AE$62,1)-2,1),0)+IFERROR(IF(AF62+1&gt;LARGE(AF$7:AF$62,1)-2,1),0)+IFERROR(IF(AG62+1&gt;LARGE(AG$7:AG$62,1)-2,1),0)+IFERROR(IF(AH62+1&gt;LARGE(AH$7:AH$62,1)-2,1),0)+IFERROR(IF(AI62+1&gt;LARGE(AI$7:AI$62,1)-2,1),0)</f>
        <v>0</v>
      </c>
      <c r="AP62" s="604">
        <f>IF(Z62=0,0,IF(Z62=IFERROR(LARGE(Z$7:Z$62,1),0),1,0))+IF(AA62=0,0,IF(AA62=IFERROR(LARGE(AA$7:AA$62,1),0),1,0))+IF(AB62=0,0,IF(AB62=IFERROR(LARGE(AB$7:AB$62,1),0),1,0))+IF(AC62=0,0,IF(AC62=IFERROR(LARGE(AC$7:AC$62,1),0),1,0))+IF(AD62=0,0,IF(AD62=IFERROR(LARGE(AD$7:AD$62,1),0),1,0))+IF(AE62=0,0,IF(AE62=IFERROR(LARGE(AE$7:AE$62,1),0),1,0))+IF(AF62=0,0,IF(AF62=IFERROR(LARGE(AF$7:AF$62,1),0),1,0))+IF(AG62=0,0,IF(AG62=IFERROR(LARGE(AG$7:AG$62,1),0),1,0))+IF(AH62=0,0,IF(AH62=IFERROR(LARGE(AH$7:AH$62,1),0),1,0))+IF(AI62=0,0,IF(AI62=IFERROR(LARGE(AI$7:AI$62,1),0),1,0))</f>
        <v>0</v>
      </c>
      <c r="AQ62" s="512"/>
      <c r="AR62" s="605"/>
      <c r="AS62" s="606"/>
      <c r="AT62" s="606"/>
      <c r="AU62" s="606"/>
      <c r="AV62" s="606"/>
      <c r="AW62" s="605">
        <f t="shared" si="10"/>
        <v>1E-4</v>
      </c>
      <c r="AX62" s="606">
        <f t="shared" si="15"/>
        <v>1E-4</v>
      </c>
      <c r="AY62" s="606">
        <f t="shared" si="15"/>
        <v>2.0000000000000001E-4</v>
      </c>
      <c r="AZ62" s="606">
        <f t="shared" si="15"/>
        <v>2.9999999999999997E-4</v>
      </c>
      <c r="BA62" s="606">
        <f t="shared" si="15"/>
        <v>4.0000000000000002E-4</v>
      </c>
      <c r="BB62" s="606">
        <f t="shared" si="15"/>
        <v>5.0000000000000001E-4</v>
      </c>
      <c r="BC62" s="606">
        <f t="shared" si="14"/>
        <v>7.0006000000000004</v>
      </c>
      <c r="BD62" s="606">
        <f t="shared" si="14"/>
        <v>6.9999999999999999E-4</v>
      </c>
      <c r="BE62" s="606">
        <f t="shared" si="14"/>
        <v>8.0000000000000004E-4</v>
      </c>
      <c r="BF62" s="606">
        <f t="shared" si="14"/>
        <v>8.9999999999999998E-4</v>
      </c>
      <c r="BG62" s="606">
        <f t="shared" si="14"/>
        <v>1E-3</v>
      </c>
    </row>
    <row r="63" spans="1:59" x14ac:dyDescent="0.2">
      <c r="A63" s="632">
        <f>COUNTIF(A7:A62,"&gt;0")</f>
        <v>30</v>
      </c>
      <c r="B63" s="633"/>
      <c r="C63" s="634">
        <f>COUNTIF(C7:C62,"&gt;0")</f>
        <v>16</v>
      </c>
      <c r="D63" s="633"/>
      <c r="E63" s="635">
        <f>COUNTIF(E7:E62,"&gt;0")</f>
        <v>44</v>
      </c>
      <c r="F63" s="633"/>
      <c r="G63" s="636">
        <f>COUNTIF(G7:G62,"&gt;0")</f>
        <v>12</v>
      </c>
      <c r="H63" s="633"/>
      <c r="I63" s="637">
        <f>COUNTIF(I7:I62,"&gt;0")</f>
        <v>5</v>
      </c>
      <c r="J63" s="633"/>
      <c r="K63" s="633">
        <f>COUNT(K7:K62)</f>
        <v>56</v>
      </c>
      <c r="L63" s="638" t="s">
        <v>284</v>
      </c>
      <c r="M63" s="636">
        <f>COUNTIF(M7:M62,"n")</f>
        <v>12</v>
      </c>
      <c r="N63" s="635">
        <f>COUNTIF(N7:N62,"m")</f>
        <v>44</v>
      </c>
      <c r="O63" s="637">
        <f>COUNTIF(O7:O62,"j")</f>
        <v>5</v>
      </c>
      <c r="P63" s="634">
        <f>COUNTIF(P7:P62,"k")</f>
        <v>16</v>
      </c>
      <c r="Q63" s="632">
        <f>COUNTIF(Q7:Q62,"v")</f>
        <v>30</v>
      </c>
      <c r="R63" s="639"/>
      <c r="S63" s="639"/>
      <c r="T63" s="639"/>
      <c r="U63" s="639"/>
      <c r="V63" s="639"/>
      <c r="W63" s="639"/>
      <c r="X63" s="639"/>
      <c r="Y63" s="639"/>
      <c r="Z63" s="640">
        <f>COUNTIF(Z7:Z62,"&gt;0")</f>
        <v>18</v>
      </c>
      <c r="AA63" s="640">
        <f>COUNTIF(AA7:AA62,"&gt;0")</f>
        <v>29</v>
      </c>
      <c r="AB63" s="640">
        <f>COUNTIF(AB7:AB62,"&gt;0")</f>
        <v>23</v>
      </c>
      <c r="AC63" s="640">
        <f>COUNTIF(AC7:AC62,"&gt;0")</f>
        <v>25</v>
      </c>
      <c r="AD63" s="640">
        <f>COUNTIF(AD7:AD62,"&gt;0")</f>
        <v>28</v>
      </c>
      <c r="AE63" s="640">
        <f>COUNTIF(AE7:AE62,"&gt;0")</f>
        <v>28</v>
      </c>
      <c r="AF63" s="640">
        <f>COUNTIF(AF7:AF62,"&gt;0")</f>
        <v>25</v>
      </c>
      <c r="AG63" s="640">
        <f>COUNTIF(AG7:AG62,"&gt;0")</f>
        <v>26</v>
      </c>
      <c r="AH63" s="640">
        <f>COUNTIF(AH7:AH62,"&gt;0")</f>
        <v>20</v>
      </c>
      <c r="AI63" s="640">
        <f>COUNTIF(AI7:AI62,"&gt;0")</f>
        <v>24</v>
      </c>
      <c r="AJ63" s="640"/>
      <c r="AK63" s="640"/>
      <c r="AL63" s="640"/>
      <c r="AM63" s="641">
        <f>COUNTIF(AM7:AM62,"&gt;0")</f>
        <v>28</v>
      </c>
      <c r="AN63" s="513"/>
      <c r="AO63" s="642"/>
      <c r="AP63" s="642"/>
      <c r="AQ63" s="512"/>
      <c r="AR63" s="512"/>
      <c r="AS63" s="512"/>
      <c r="AT63" s="512"/>
      <c r="AU63" s="512"/>
      <c r="AV63" s="512"/>
      <c r="AW63" s="605"/>
      <c r="AX63" s="606"/>
      <c r="AY63" s="606"/>
      <c r="AZ63" s="606"/>
      <c r="BA63" s="606"/>
      <c r="BB63" s="606"/>
      <c r="BC63" s="606"/>
      <c r="BD63" s="606"/>
      <c r="BE63" s="606"/>
      <c r="BF63" s="606"/>
      <c r="BG63" s="606"/>
    </row>
    <row r="64" spans="1:59" x14ac:dyDescent="0.2">
      <c r="A64" s="514"/>
      <c r="B64" s="514"/>
      <c r="C64" s="514"/>
      <c r="D64" s="514"/>
      <c r="E64" s="514"/>
      <c r="F64" s="514"/>
      <c r="G64" s="514"/>
      <c r="H64" s="514"/>
      <c r="I64" s="514"/>
      <c r="J64" s="514"/>
      <c r="K64" s="514"/>
      <c r="L64" s="638" t="s">
        <v>285</v>
      </c>
      <c r="M64" s="639"/>
      <c r="N64" s="639"/>
      <c r="O64" s="639"/>
      <c r="P64" s="639"/>
      <c r="Q64" s="639"/>
      <c r="R64" s="639"/>
      <c r="S64" s="639"/>
      <c r="T64" s="639"/>
      <c r="U64" s="639"/>
      <c r="V64" s="639"/>
      <c r="W64" s="639"/>
      <c r="X64" s="639"/>
      <c r="Y64" s="639"/>
      <c r="Z64" s="643">
        <f>IF((Z63/(LEN(Z5)-LEN(SUBSTITUTE(Z5,"*","")))-0.5)&lt;0,"",Z63/(LEN(Z5)-LEN(SUBSTITUTE(Z5,"*","")))-0.5)</f>
        <v>8.5</v>
      </c>
      <c r="AA64" s="643">
        <f>IF((AA63/(LEN(AA5)-LEN(SUBSTITUTE(AA5,"*","")))-0.5)&lt;0,"",AA63/(LEN(AA5)-LEN(SUBSTITUTE(AA5,"*","")))-0.5)</f>
        <v>14</v>
      </c>
      <c r="AB64" s="643">
        <f>IF((AB63/(LEN(AB5)-LEN(SUBSTITUTE(AB5,"*","")))-0.5)&lt;0,"",AB63/(LEN(AB5)-LEN(SUBSTITUTE(AB5,"*","")))-0.5)</f>
        <v>11</v>
      </c>
      <c r="AC64" s="643">
        <f>IF((AC63/(LEN(AC5)-LEN(SUBSTITUTE(AC5,"*","")))-0.5)&lt;0,"",AC63/(LEN(AC5)-LEN(SUBSTITUTE(AC5,"*","")))-0.5)</f>
        <v>12</v>
      </c>
      <c r="AD64" s="643">
        <f>IF((AD63/(LEN(AD5)-LEN(SUBSTITUTE(AD5,"*","")))-0.5)&lt;0,"",AD63/(LEN(AD5)-LEN(SUBSTITUTE(AD5,"*","")))-0.5)</f>
        <v>13.5</v>
      </c>
      <c r="AE64" s="643">
        <f>IF((AE63/(LEN(AE5)-LEN(SUBSTITUTE(AE5,"*","")))-0.5)&lt;0,"",AE63/(LEN(AE5)-LEN(SUBSTITUTE(AE5,"*","")))-0.5)</f>
        <v>13.5</v>
      </c>
      <c r="AF64" s="643">
        <f>IF((AF63/(LEN(AF5)-LEN(SUBSTITUTE(AF5,"*","")))-0.5)&lt;0,"",AF63/(LEN(AF5)-LEN(SUBSTITUTE(AF5,"*","")))-0.5)</f>
        <v>12</v>
      </c>
      <c r="AG64" s="643">
        <v>12</v>
      </c>
      <c r="AH64" s="643">
        <f>IF((AH63/(LEN(AH5)-LEN(SUBSTITUTE(AH5,"*","")))-0.5)&lt;0,"",AH63/(LEN(AH5)-LEN(SUBSTITUTE(AH5,"*","")))-0.5)</f>
        <v>9.5</v>
      </c>
      <c r="AI64" s="643">
        <f>IF((AI63/(LEN(AI5)-LEN(SUBSTITUTE(AI5,"*","")))-0.5)&lt;0,"",AI63/(LEN(AI5)-LEN(SUBSTITUTE(AI5,"*","")))-0.5)</f>
        <v>11.5</v>
      </c>
      <c r="AJ64" s="643"/>
      <c r="AK64" s="643"/>
      <c r="AL64" s="643"/>
      <c r="AM64" s="644"/>
      <c r="AN64" s="513"/>
      <c r="AO64" s="513"/>
      <c r="AP64" s="513"/>
      <c r="AQ64" s="512"/>
      <c r="AR64" s="512"/>
      <c r="AS64" s="512"/>
      <c r="AT64" s="512"/>
      <c r="AU64" s="512"/>
      <c r="AV64" s="512"/>
      <c r="AW64" s="512"/>
      <c r="AX64" s="512"/>
      <c r="AY64" s="512"/>
      <c r="AZ64" s="512"/>
      <c r="BA64" s="512"/>
      <c r="BB64" s="512"/>
      <c r="BC64" s="512"/>
    </row>
    <row r="65" spans="1:55" x14ac:dyDescent="0.2">
      <c r="A65" s="512"/>
      <c r="B65" s="512"/>
      <c r="C65" s="515"/>
      <c r="D65" s="515"/>
      <c r="E65" s="515"/>
      <c r="F65" s="515"/>
      <c r="G65" s="515"/>
      <c r="H65" s="515"/>
      <c r="I65" s="515"/>
      <c r="J65" s="515"/>
      <c r="K65" s="515"/>
      <c r="L65" s="512"/>
      <c r="M65" s="515"/>
      <c r="N65" s="515"/>
      <c r="O65" s="515"/>
      <c r="P65" s="645"/>
      <c r="Q65" s="645"/>
      <c r="R65" s="515"/>
      <c r="S65" s="515"/>
      <c r="T65" s="515"/>
      <c r="U65" s="515"/>
      <c r="V65" s="515"/>
      <c r="W65" s="515"/>
      <c r="X65" s="515"/>
      <c r="Y65" s="515"/>
      <c r="Z65" s="515"/>
      <c r="AA65" s="515"/>
      <c r="AB65" s="515"/>
      <c r="AC65" s="515"/>
      <c r="AD65" s="515"/>
      <c r="AE65" s="515"/>
      <c r="AF65" s="515"/>
      <c r="AG65" s="515"/>
      <c r="AH65" s="515"/>
      <c r="AI65" s="515"/>
      <c r="AJ65" s="515"/>
      <c r="AK65" s="515"/>
      <c r="AL65" s="515"/>
      <c r="AM65" s="515"/>
      <c r="AN65" s="512"/>
      <c r="AO65" s="512"/>
      <c r="AP65" s="512"/>
      <c r="AQ65" s="512"/>
      <c r="AR65" s="512"/>
      <c r="AS65" s="512"/>
      <c r="AT65" s="512"/>
      <c r="AU65" s="512"/>
      <c r="AV65" s="512"/>
      <c r="AW65" s="512"/>
      <c r="AX65" s="512"/>
      <c r="AY65" s="512"/>
      <c r="AZ65" s="512"/>
      <c r="BA65" s="512"/>
      <c r="BB65" s="512"/>
      <c r="BC65" s="512"/>
    </row>
    <row r="66" spans="1:55" x14ac:dyDescent="0.2">
      <c r="A66" s="512"/>
      <c r="B66" s="512"/>
      <c r="C66" s="515"/>
      <c r="D66" s="515"/>
      <c r="E66" s="515"/>
      <c r="F66" s="515"/>
      <c r="G66" s="515"/>
      <c r="H66" s="515"/>
      <c r="I66" s="515"/>
      <c r="J66" s="515"/>
      <c r="K66" s="515"/>
      <c r="L66" s="523" t="s">
        <v>330</v>
      </c>
      <c r="N66" s="515"/>
      <c r="O66" s="515"/>
      <c r="P66" s="645"/>
      <c r="Q66" s="645"/>
      <c r="S66" s="515"/>
      <c r="T66" s="515"/>
      <c r="U66" s="515"/>
      <c r="V66" s="515"/>
      <c r="W66" s="515"/>
      <c r="X66" s="515"/>
      <c r="Y66" s="515"/>
      <c r="Z66" s="515"/>
      <c r="AA66" s="515"/>
      <c r="AB66" s="515"/>
      <c r="AC66" s="515"/>
      <c r="AD66" s="515"/>
      <c r="AE66" s="515"/>
      <c r="AF66" s="515"/>
      <c r="AG66" s="515"/>
      <c r="AH66" s="515"/>
      <c r="AI66" s="515"/>
      <c r="AJ66" s="515"/>
      <c r="AK66" s="515"/>
      <c r="AL66" s="515"/>
      <c r="AM66" s="515"/>
      <c r="AN66" s="512"/>
      <c r="AO66" s="512"/>
      <c r="AP66" s="512"/>
      <c r="AQ66" s="512"/>
      <c r="AR66" s="512"/>
      <c r="AS66" s="512"/>
      <c r="AT66" s="512"/>
      <c r="AU66" s="512"/>
      <c r="AV66" s="512"/>
      <c r="AW66" s="512"/>
      <c r="AX66" s="512"/>
      <c r="AY66" s="512"/>
      <c r="AZ66" s="512"/>
      <c r="BA66" s="512"/>
      <c r="BB66" s="512"/>
      <c r="BC66" s="512"/>
    </row>
    <row r="67" spans="1:55" x14ac:dyDescent="0.2">
      <c r="A67" s="512"/>
      <c r="B67" s="512"/>
      <c r="C67" s="515"/>
      <c r="D67" s="515"/>
      <c r="E67" s="515"/>
      <c r="F67" s="515"/>
      <c r="G67" s="515"/>
      <c r="H67" s="515"/>
      <c r="I67" s="515"/>
      <c r="J67" s="515"/>
      <c r="K67" s="515"/>
      <c r="L67" s="512"/>
      <c r="M67" s="645"/>
      <c r="N67" s="645"/>
      <c r="O67" s="645"/>
      <c r="P67" s="645"/>
      <c r="Q67" s="645"/>
      <c r="R67" s="645"/>
      <c r="S67" s="645"/>
      <c r="T67" s="645"/>
      <c r="U67" s="645"/>
      <c r="V67" s="645"/>
      <c r="W67" s="645"/>
      <c r="X67" s="645"/>
      <c r="Y67" s="645"/>
      <c r="Z67" s="515"/>
      <c r="AA67" s="515"/>
      <c r="AB67" s="515"/>
      <c r="AC67" s="515"/>
      <c r="AD67" s="515"/>
      <c r="AE67" s="515"/>
      <c r="AF67" s="515"/>
      <c r="AG67" s="515"/>
      <c r="AH67" s="515"/>
      <c r="AI67" s="515"/>
      <c r="AJ67" s="515"/>
      <c r="AK67" s="515"/>
      <c r="AL67" s="515"/>
      <c r="AM67" s="515"/>
      <c r="AN67" s="512"/>
      <c r="AO67" s="512"/>
      <c r="AP67" s="512"/>
      <c r="AQ67" s="512"/>
      <c r="AR67" s="512"/>
      <c r="AS67" s="512"/>
      <c r="AT67" s="512"/>
      <c r="AU67" s="512"/>
      <c r="AV67" s="512"/>
      <c r="AW67" s="512"/>
      <c r="AX67" s="512"/>
      <c r="AY67" s="512"/>
      <c r="AZ67" s="512"/>
      <c r="BA67" s="512"/>
      <c r="BB67" s="512"/>
      <c r="BC67" s="512"/>
    </row>
  </sheetData>
  <autoFilter ref="AN6:AP6"/>
  <mergeCells count="3">
    <mergeCell ref="AN4:AN5"/>
    <mergeCell ref="AO4:AO5"/>
    <mergeCell ref="AP4:AP5"/>
  </mergeCells>
  <conditionalFormatting sqref="AM7:AM62">
    <cfRule type="expression" dxfId="572" priority="2">
      <formula>AM7=3</formula>
    </cfRule>
    <cfRule type="expression" dxfId="571" priority="3">
      <formula>AM7=2</formula>
    </cfRule>
    <cfRule type="expression" dxfId="570" priority="4">
      <formula>AM7=1</formula>
    </cfRule>
  </conditionalFormatting>
  <conditionalFormatting sqref="K59">
    <cfRule type="duplicateValues" dxfId="569" priority="6"/>
  </conditionalFormatting>
  <conditionalFormatting sqref="Z63:AI63">
    <cfRule type="top10" dxfId="568" priority="7" stopIfTrue="1" rank="1"/>
  </conditionalFormatting>
  <conditionalFormatting sqref="Z64:AI64">
    <cfRule type="top10" dxfId="567" priority="8" rank="1"/>
  </conditionalFormatting>
  <conditionalFormatting sqref="AJ7:AJ62">
    <cfRule type="containsText" dxfId="566" priority="1" operator="containsText" text="puudu">
      <formula>NOT(ISERROR(SEARCH("puudu",AJ7)))</formula>
    </cfRule>
  </conditionalFormatting>
  <conditionalFormatting sqref="AO7:AO62">
    <cfRule type="top10" dxfId="20" priority="889" stopIfTrue="1" rank="1"/>
  </conditionalFormatting>
  <conditionalFormatting sqref="AP7:AP62">
    <cfRule type="top10" dxfId="19" priority="890" stopIfTrue="1" rank="1"/>
  </conditionalFormatting>
  <conditionalFormatting sqref="R7:R62">
    <cfRule type="duplicateValues" dxfId="18" priority="891"/>
  </conditionalFormatting>
  <conditionalFormatting sqref="K60:K62 K7:K58">
    <cfRule type="duplicateValues" dxfId="17" priority="892"/>
  </conditionalFormatting>
  <conditionalFormatting sqref="AN7:AN62">
    <cfRule type="top10" dxfId="16" priority="894" stopIfTrue="1" rank="1"/>
  </conditionalFormatting>
  <conditionalFormatting sqref="AL7:AL62">
    <cfRule type="expression" dxfId="15" priority="895">
      <formula>0=COUNT($AI$7:$AI$62)</formula>
    </cfRule>
    <cfRule type="notContainsText" dxfId="14" priority="896" operator="notContains" text="edasi">
      <formula>ISERROR(SEARCH("edasi",AL7))</formula>
    </cfRule>
  </conditionalFormatting>
  <conditionalFormatting sqref="L7:L62">
    <cfRule type="expression" dxfId="13" priority="897">
      <formula>AND(R7=LARGE(R$7:R$62,3),COUNT($AI$7:$AI$62)&gt;0)</formula>
    </cfRule>
    <cfRule type="expression" dxfId="12" priority="898">
      <formula>AND(R7=LARGE(R$7:R$62,2),COUNT($AI$7:$AI$62)&gt;0)</formula>
    </cfRule>
    <cfRule type="expression" dxfId="11" priority="899">
      <formula>AND(R7=LARGE(R$7:R$62,1),COUNT($AI$7:$AI$62)&gt;0)</formula>
    </cfRule>
    <cfRule type="expression" dxfId="10" priority="900">
      <formula>M7="n"</formula>
    </cfRule>
    <cfRule type="expression" dxfId="9" priority="901">
      <formula>O7="j"</formula>
    </cfRule>
    <cfRule type="expression" dxfId="8" priority="902">
      <formula>P7="k"</formula>
    </cfRule>
    <cfRule type="duplicateValues" dxfId="7" priority="903" stopIfTrue="1"/>
  </conditionalFormatting>
  <conditionalFormatting sqref="A7:A62 G7:G62 I7:I62">
    <cfRule type="expression" dxfId="6" priority="904">
      <formula>AND(A7=SMALL(A$7:A$62,1),COUNT($AI$7:$AI$62)&gt;0)</formula>
    </cfRule>
  </conditionalFormatting>
  <conditionalFormatting sqref="C7:C62">
    <cfRule type="expression" dxfId="5" priority="905">
      <formula>AND(C7=SMALL(C$7:C$62,1),COUNT(#REF!)&gt;0)</formula>
    </cfRule>
  </conditionalFormatting>
  <conditionalFormatting sqref="Z7:AI62">
    <cfRule type="cellIs" dxfId="4" priority="908" operator="equal">
      <formula>18</formula>
    </cfRule>
    <cfRule type="cellIs" dxfId="3" priority="909" operator="equal">
      <formula>19</formula>
    </cfRule>
    <cfRule type="cellIs" dxfId="2" priority="910" operator="equal">
      <formula>20</formula>
    </cfRule>
    <cfRule type="expression" dxfId="1" priority="911">
      <formula>IF(COUNT(Z$7:Z$62)=0,TRUE)</formula>
    </cfRule>
    <cfRule type="expression" dxfId="0" priority="912">
      <formula>MID(Z$6,FIND("V",Z$6)+1,256)/10000+IF(Z7="  ",FALSE,Z7)&lt;=$AW7</formula>
    </cfRule>
  </conditionalFormatting>
  <pageMargins left="0.39370078740157483" right="0.27559055118110237" top="0.27559055118110237" bottom="0.19685039370078741" header="7.874015748031496E-2" footer="0"/>
  <pageSetup paperSize="9" scale="94" fitToHeight="0" orientation="portrait" r:id="rId1"/>
  <headerFooter>
    <oddHeader>&amp;R&amp;9Page &amp;P of &amp;N</oddHead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M308"/>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33.28515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4" hidden="1" customWidth="1"/>
    <col min="33" max="33" width="9.140625" hidden="1" customWidth="1"/>
    <col min="34" max="34" width="18.7109375" hidden="1" customWidth="1"/>
    <col min="35" max="35" width="9.140625" hidden="1" customWidth="1"/>
    <col min="36" max="36" width="17.28515625" hidden="1" customWidth="1"/>
    <col min="37" max="37" width="9.140625" hidden="1" customWidth="1"/>
    <col min="38" max="38" width="13.85546875" hidden="1" customWidth="1"/>
  </cols>
  <sheetData>
    <row r="1" spans="1:39" x14ac:dyDescent="0.2">
      <c r="A1" s="742" t="str">
        <f>UPPER((Kalend!E7)&amp;" - "&amp;(Kalend!C7)&amp;" - "&amp;(Kalend!D7))</f>
        <v>V1 - VOKA 6. KV 1. ETAPP - DUO</v>
      </c>
      <c r="B1" s="652"/>
      <c r="C1" s="653"/>
      <c r="D1" s="652"/>
      <c r="E1" s="652"/>
      <c r="F1" s="410" t="str">
        <f>HYPERLINK("#Kalend!I1","Kalender")</f>
        <v>Kalender</v>
      </c>
      <c r="G1" s="410"/>
      <c r="H1" s="410"/>
      <c r="I1" s="410"/>
      <c r="J1" s="654" t="str">
        <f>HYPERLINK("#V!AB1","Reiting")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tr">
        <f>"Toimumisaeg: "&amp;(Kalend!A7)&amp;" kell "&amp;(Kalend!B7)</f>
        <v>Toimumisaeg: K, 08.05.2019 kell 18:00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2"/>
      <c r="AE2" s="652"/>
      <c r="AF2" s="652"/>
      <c r="AG2" s="652"/>
      <c r="AH2" s="652"/>
      <c r="AI2" s="652"/>
      <c r="AJ2" s="652"/>
      <c r="AK2" s="652"/>
      <c r="AL2" s="652"/>
      <c r="AM2" s="652"/>
    </row>
    <row r="3" spans="1:39" x14ac:dyDescent="0.2">
      <c r="A3" s="659" t="str">
        <f>"Toimumiskoht: "&amp;(Kalend!F7)</f>
        <v>Toimumiskoht: Voka staadion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tr">
        <f>"Korraldaja: "&amp;(Kalend!G7)</f>
        <v>Korraldaja: Johannes Neiland</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x14ac:dyDescent="0.2">
      <c r="A8" s="685">
        <v>1</v>
      </c>
      <c r="B8" s="686" t="s">
        <v>380</v>
      </c>
      <c r="C8" s="687">
        <v>13</v>
      </c>
      <c r="D8" s="688" t="s">
        <v>377</v>
      </c>
      <c r="E8" s="689">
        <v>1</v>
      </c>
      <c r="F8" s="690" t="s">
        <v>381</v>
      </c>
      <c r="G8" s="687">
        <v>12</v>
      </c>
      <c r="H8" s="688" t="s">
        <v>377</v>
      </c>
      <c r="I8" s="689">
        <v>13</v>
      </c>
      <c r="J8" s="690" t="s">
        <v>382</v>
      </c>
      <c r="K8" s="687">
        <v>13</v>
      </c>
      <c r="L8" s="688" t="s">
        <v>377</v>
      </c>
      <c r="M8" s="689">
        <v>4</v>
      </c>
      <c r="N8" s="690" t="s">
        <v>383</v>
      </c>
      <c r="O8" s="687">
        <v>13</v>
      </c>
      <c r="P8" s="688" t="s">
        <v>377</v>
      </c>
      <c r="Q8" s="689">
        <v>7</v>
      </c>
      <c r="R8" s="690" t="s">
        <v>384</v>
      </c>
      <c r="S8" s="687">
        <v>13</v>
      </c>
      <c r="T8" s="688" t="s">
        <v>377</v>
      </c>
      <c r="U8" s="689">
        <v>6</v>
      </c>
      <c r="V8" s="690" t="s">
        <v>385</v>
      </c>
      <c r="W8" s="691">
        <f>IF(C8&gt;E8,J$3,IF(C8&lt;E8,J$5,IF(ISNUMBER(C8),J$4,0)))+IF(G8&gt;I8,J$3,IF(G8&lt;I8,J$5,IF(ISNUMBER(G8),J$4,0)))+IF(K8&gt;M8,J$3,IF(K8&lt;M8,J$5,IF(ISNUMBER(K8),J$4,0)))+IF(O8&gt;Q8,J$3,IF(O8&lt;Q8,J$5,IF(ISNUMBER(O8),J$4,0)))+IF(S8&gt;U8,J$3,IF(S8&lt;U8,J$5,IF(ISNUMBER(S8),J$4,0)))</f>
        <v>4</v>
      </c>
      <c r="X8" s="692"/>
      <c r="Y8" s="687">
        <f>C8+G8+K8+O8+S8</f>
        <v>64</v>
      </c>
      <c r="Z8" s="688" t="s">
        <v>377</v>
      </c>
      <c r="AA8" s="693">
        <f>E8+I8+M8+Q8+U8</f>
        <v>31</v>
      </c>
      <c r="AB8" s="694">
        <f>Y8-AA8</f>
        <v>33</v>
      </c>
      <c r="AC8" s="695"/>
      <c r="AD8" s="708">
        <f t="shared" ref="AD8" si="0">SUM(AE8:AL8)</f>
        <v>282</v>
      </c>
      <c r="AE8" s="709">
        <f>IFERROR(INDEX(V!R$7:R$62,MATCH(AF8,V!L$7:L$62,0)),"")</f>
        <v>113</v>
      </c>
      <c r="AF8" s="710" t="str">
        <f t="shared" ref="AF8:AF16" si="1">IFERROR(LEFT(B8,(FIND(",",B8,1)-1)),"")</f>
        <v>Andrei Grintšak</v>
      </c>
      <c r="AG8" s="709">
        <f>IFERROR(INDEX(V!R$7:R$62,MATCH(AH8,V!L$7:L$62,0)),"")</f>
        <v>169</v>
      </c>
      <c r="AH8" s="710" t="str">
        <f t="shared" ref="AH8:AH16" si="2">IFERROR(MID(B8,FIND(", ",B8)+2,256),"")</f>
        <v>Oleg Rõndenkov</v>
      </c>
      <c r="AI8" s="709" t="str">
        <f>IFERROR(INDEX(V!R$7:R$62,MATCH(AJ8,V!L$7:L$62,0)),"")</f>
        <v/>
      </c>
      <c r="AJ8" s="710" t="str">
        <f t="shared" ref="AJ8:AJ16" si="3">IFERROR(MID(B8,FIND("^",SUBSTITUTE(B8,", ","^",1))+2,FIND("^",SUBSTITUTE(B8,", ","^",2))-FIND("^",SUBSTITUTE(B8,", ","^",1))-2),"")</f>
        <v/>
      </c>
      <c r="AK8" s="709" t="str">
        <f>IFERROR(INDEX(V!R$7:R$62,MATCH(AL8,V!L$7:L$62,0)),"")</f>
        <v/>
      </c>
      <c r="AL8" s="710" t="str">
        <f t="shared" ref="AL8:AL16" si="4">IFERROR(MID(B8,FIND(", ",B8,FIND(", ",B8,FIND(", ",B8))+1)+2,700),"")</f>
        <v/>
      </c>
      <c r="AM8" s="652"/>
    </row>
    <row r="9" spans="1:39" x14ac:dyDescent="0.2">
      <c r="A9" s="685">
        <v>2</v>
      </c>
      <c r="B9" s="686" t="s">
        <v>383</v>
      </c>
      <c r="C9" s="687">
        <v>13</v>
      </c>
      <c r="D9" s="688" t="s">
        <v>377</v>
      </c>
      <c r="E9" s="689">
        <v>9</v>
      </c>
      <c r="F9" s="690" t="s">
        <v>386</v>
      </c>
      <c r="G9" s="687">
        <v>13</v>
      </c>
      <c r="H9" s="688" t="s">
        <v>377</v>
      </c>
      <c r="I9" s="689">
        <v>8</v>
      </c>
      <c r="J9" s="690" t="s">
        <v>387</v>
      </c>
      <c r="K9" s="687">
        <v>4</v>
      </c>
      <c r="L9" s="688" t="s">
        <v>377</v>
      </c>
      <c r="M9" s="689">
        <v>13</v>
      </c>
      <c r="N9" s="690" t="s">
        <v>380</v>
      </c>
      <c r="O9" s="687">
        <v>13</v>
      </c>
      <c r="P9" s="688" t="s">
        <v>377</v>
      </c>
      <c r="Q9" s="689">
        <v>7</v>
      </c>
      <c r="R9" s="690" t="s">
        <v>382</v>
      </c>
      <c r="S9" s="687">
        <v>11</v>
      </c>
      <c r="T9" s="688" t="s">
        <v>377</v>
      </c>
      <c r="U9" s="689">
        <v>9</v>
      </c>
      <c r="V9" s="690" t="s">
        <v>381</v>
      </c>
      <c r="W9" s="691">
        <f t="shared" ref="W9:W16" si="5">IF(C9&gt;E9,J$3,IF(C9&lt;E9,J$5,IF(ISNUMBER(C9),J$4,0)))+IF(G9&gt;I9,J$3,IF(G9&lt;I9,J$5,IF(ISNUMBER(G9),J$4,0)))+IF(K9&gt;M9,J$3,IF(K9&lt;M9,J$5,IF(ISNUMBER(K9),J$4,0)))+IF(O9&gt;Q9,J$3,IF(O9&lt;Q9,J$5,IF(ISNUMBER(O9),J$4,0)))+IF(S9&gt;U9,J$3,IF(S9&lt;U9,J$5,IF(ISNUMBER(S9),J$4,0)))</f>
        <v>4</v>
      </c>
      <c r="X9" s="692"/>
      <c r="Y9" s="687">
        <f t="shared" ref="Y9:Y16" si="6">C9+G9+K9+O9+S9</f>
        <v>54</v>
      </c>
      <c r="Z9" s="688" t="s">
        <v>377</v>
      </c>
      <c r="AA9" s="693">
        <f t="shared" ref="AA9:AA16" si="7">E9+I9+M9+Q9+U9</f>
        <v>46</v>
      </c>
      <c r="AB9" s="694">
        <f t="shared" ref="AB9:AB16" si="8">Y9-AA9</f>
        <v>8</v>
      </c>
      <c r="AC9" s="695"/>
      <c r="AD9" s="708">
        <f t="shared" ref="AD9:AD16" si="9">SUM(AE9:AL9)</f>
        <v>284</v>
      </c>
      <c r="AE9" s="709">
        <f>IFERROR(INDEX(V!R$7:R$62,MATCH(AF9,V!L$7:L$62,0)),"")</f>
        <v>142</v>
      </c>
      <c r="AF9" s="710" t="str">
        <f t="shared" si="1"/>
        <v>Elmo Lageda</v>
      </c>
      <c r="AG9" s="709">
        <f>IFERROR(INDEX(V!R$7:R$62,MATCH(AH9,V!L$7:L$62,0)),"")</f>
        <v>142</v>
      </c>
      <c r="AH9" s="710" t="str">
        <f t="shared" si="2"/>
        <v>Tõnu Piik</v>
      </c>
      <c r="AI9" s="709" t="str">
        <f>IFERROR(INDEX(V!R$7:R$62,MATCH(AJ9,V!L$7:L$62,0)),"")</f>
        <v/>
      </c>
      <c r="AJ9" s="710" t="str">
        <f t="shared" si="3"/>
        <v/>
      </c>
      <c r="AK9" s="709" t="str">
        <f>IFERROR(INDEX(V!R$7:R$62,MATCH(AL9,V!L$7:L$62,0)),"")</f>
        <v/>
      </c>
      <c r="AL9" s="710" t="str">
        <f t="shared" si="4"/>
        <v/>
      </c>
      <c r="AM9" s="652"/>
    </row>
    <row r="10" spans="1:39" x14ac:dyDescent="0.2">
      <c r="A10" s="685">
        <v>3</v>
      </c>
      <c r="B10" s="686" t="s">
        <v>386</v>
      </c>
      <c r="C10" s="687">
        <v>9</v>
      </c>
      <c r="D10" s="688" t="s">
        <v>377</v>
      </c>
      <c r="E10" s="689">
        <v>13</v>
      </c>
      <c r="F10" s="690" t="s">
        <v>383</v>
      </c>
      <c r="G10" s="687">
        <v>1</v>
      </c>
      <c r="H10" s="688" t="s">
        <v>377</v>
      </c>
      <c r="I10" s="689">
        <v>13</v>
      </c>
      <c r="J10" s="690" t="s">
        <v>384</v>
      </c>
      <c r="K10" s="687">
        <v>13</v>
      </c>
      <c r="L10" s="688" t="s">
        <v>377</v>
      </c>
      <c r="M10" s="689">
        <v>7</v>
      </c>
      <c r="N10" s="690" t="s">
        <v>388</v>
      </c>
      <c r="O10" s="687">
        <v>13</v>
      </c>
      <c r="P10" s="688" t="s">
        <v>377</v>
      </c>
      <c r="Q10" s="689">
        <v>7</v>
      </c>
      <c r="R10" s="690" t="s">
        <v>387</v>
      </c>
      <c r="S10" s="687">
        <v>13</v>
      </c>
      <c r="T10" s="688" t="s">
        <v>377</v>
      </c>
      <c r="U10" s="689">
        <v>5</v>
      </c>
      <c r="V10" s="690" t="s">
        <v>382</v>
      </c>
      <c r="W10" s="691">
        <f t="shared" si="5"/>
        <v>3</v>
      </c>
      <c r="X10" s="692"/>
      <c r="Y10" s="687">
        <f t="shared" si="6"/>
        <v>49</v>
      </c>
      <c r="Z10" s="688" t="s">
        <v>377</v>
      </c>
      <c r="AA10" s="693">
        <f t="shared" si="7"/>
        <v>45</v>
      </c>
      <c r="AB10" s="694">
        <f t="shared" si="8"/>
        <v>4</v>
      </c>
      <c r="AC10" s="695"/>
      <c r="AD10" s="708">
        <f t="shared" si="9"/>
        <v>103</v>
      </c>
      <c r="AE10" s="709">
        <f>IFERROR(INDEX(V!R$7:R$62,MATCH(AF10,V!L$7:L$62,0)),"")</f>
        <v>85</v>
      </c>
      <c r="AF10" s="710" t="str">
        <f t="shared" si="1"/>
        <v>Jaan Saar</v>
      </c>
      <c r="AG10" s="709">
        <f>IFERROR(INDEX(V!R$7:R$62,MATCH(AH10,V!L$7:L$62,0)),"")</f>
        <v>18</v>
      </c>
      <c r="AH10" s="710" t="str">
        <f t="shared" si="2"/>
        <v>Klavdia Piik</v>
      </c>
      <c r="AI10" s="709" t="str">
        <f>IFERROR(INDEX(V!R$7:R$62,MATCH(AJ10,V!L$7:L$62,0)),"")</f>
        <v/>
      </c>
      <c r="AJ10" s="710" t="str">
        <f t="shared" si="3"/>
        <v/>
      </c>
      <c r="AK10" s="709" t="str">
        <f>IFERROR(INDEX(V!R$7:R$62,MATCH(AL10,V!L$7:L$62,0)),"")</f>
        <v/>
      </c>
      <c r="AL10" s="710" t="str">
        <f t="shared" si="4"/>
        <v/>
      </c>
      <c r="AM10" s="652"/>
    </row>
    <row r="11" spans="1:39" x14ac:dyDescent="0.2">
      <c r="A11" s="685">
        <v>4</v>
      </c>
      <c r="B11" s="686" t="s">
        <v>382</v>
      </c>
      <c r="C11" s="687">
        <v>13</v>
      </c>
      <c r="D11" s="688" t="s">
        <v>377</v>
      </c>
      <c r="E11" s="689">
        <v>3</v>
      </c>
      <c r="F11" s="690" t="s">
        <v>389</v>
      </c>
      <c r="G11" s="687">
        <v>13</v>
      </c>
      <c r="H11" s="688" t="s">
        <v>377</v>
      </c>
      <c r="I11" s="689">
        <v>12</v>
      </c>
      <c r="J11" s="690" t="s">
        <v>380</v>
      </c>
      <c r="K11" s="687">
        <v>13</v>
      </c>
      <c r="L11" s="688" t="s">
        <v>377</v>
      </c>
      <c r="M11" s="689">
        <v>6</v>
      </c>
      <c r="N11" s="690" t="s">
        <v>384</v>
      </c>
      <c r="O11" s="687">
        <v>7</v>
      </c>
      <c r="P11" s="688" t="s">
        <v>377</v>
      </c>
      <c r="Q11" s="689">
        <v>13</v>
      </c>
      <c r="R11" s="690" t="s">
        <v>383</v>
      </c>
      <c r="S11" s="687">
        <v>5</v>
      </c>
      <c r="T11" s="688" t="s">
        <v>377</v>
      </c>
      <c r="U11" s="689">
        <v>13</v>
      </c>
      <c r="V11" s="690" t="s">
        <v>386</v>
      </c>
      <c r="W11" s="691">
        <f t="shared" si="5"/>
        <v>3</v>
      </c>
      <c r="X11" s="692"/>
      <c r="Y11" s="687">
        <f t="shared" si="6"/>
        <v>51</v>
      </c>
      <c r="Z11" s="688" t="s">
        <v>377</v>
      </c>
      <c r="AA11" s="693">
        <f t="shared" si="7"/>
        <v>47</v>
      </c>
      <c r="AB11" s="694">
        <f t="shared" si="8"/>
        <v>4</v>
      </c>
      <c r="AC11" s="695"/>
      <c r="AD11" s="708">
        <f t="shared" si="9"/>
        <v>249</v>
      </c>
      <c r="AE11" s="709">
        <f>IFERROR(INDEX(V!R$7:R$62,MATCH(AF11,V!L$7:L$62,0)),"")</f>
        <v>101</v>
      </c>
      <c r="AF11" s="710" t="str">
        <f t="shared" si="1"/>
        <v>Mait Metsla</v>
      </c>
      <c r="AG11" s="709">
        <f>IFERROR(INDEX(V!R$7:R$62,MATCH(AH11,V!L$7:L$62,0)),"")</f>
        <v>148</v>
      </c>
      <c r="AH11" s="710" t="str">
        <f t="shared" si="2"/>
        <v>Matti Vinni</v>
      </c>
      <c r="AI11" s="709" t="str">
        <f>IFERROR(INDEX(V!R$7:R$62,MATCH(AJ11,V!L$7:L$62,0)),"")</f>
        <v/>
      </c>
      <c r="AJ11" s="710" t="str">
        <f t="shared" si="3"/>
        <v/>
      </c>
      <c r="AK11" s="709" t="str">
        <f>IFERROR(INDEX(V!R$7:R$62,MATCH(AL11,V!L$7:L$62,0)),"")</f>
        <v/>
      </c>
      <c r="AL11" s="710" t="str">
        <f t="shared" si="4"/>
        <v/>
      </c>
      <c r="AM11" s="652"/>
    </row>
    <row r="12" spans="1:39" x14ac:dyDescent="0.2">
      <c r="A12" s="685">
        <v>5</v>
      </c>
      <c r="B12" s="686" t="s">
        <v>389</v>
      </c>
      <c r="C12" s="687">
        <v>3</v>
      </c>
      <c r="D12" s="688" t="s">
        <v>377</v>
      </c>
      <c r="E12" s="689">
        <v>13</v>
      </c>
      <c r="F12" s="690" t="s">
        <v>382</v>
      </c>
      <c r="G12" s="687">
        <v>13</v>
      </c>
      <c r="H12" s="688" t="s">
        <v>377</v>
      </c>
      <c r="I12" s="689">
        <v>8</v>
      </c>
      <c r="J12" s="690" t="s">
        <v>385</v>
      </c>
      <c r="K12" s="687">
        <v>13</v>
      </c>
      <c r="L12" s="688" t="s">
        <v>377</v>
      </c>
      <c r="M12" s="689">
        <v>9</v>
      </c>
      <c r="N12" s="690" t="s">
        <v>387</v>
      </c>
      <c r="O12" s="687">
        <v>11</v>
      </c>
      <c r="P12" s="688" t="s">
        <v>377</v>
      </c>
      <c r="Q12" s="689">
        <v>13</v>
      </c>
      <c r="R12" s="690" t="s">
        <v>381</v>
      </c>
      <c r="S12" s="687">
        <v>13</v>
      </c>
      <c r="T12" s="688" t="s">
        <v>377</v>
      </c>
      <c r="U12" s="689">
        <v>7</v>
      </c>
      <c r="V12" s="690" t="s">
        <v>388</v>
      </c>
      <c r="W12" s="691">
        <f t="shared" si="5"/>
        <v>3</v>
      </c>
      <c r="X12" s="692"/>
      <c r="Y12" s="687">
        <f t="shared" si="6"/>
        <v>53</v>
      </c>
      <c r="Z12" s="688" t="s">
        <v>377</v>
      </c>
      <c r="AA12" s="693">
        <f t="shared" si="7"/>
        <v>50</v>
      </c>
      <c r="AB12" s="694">
        <f t="shared" si="8"/>
        <v>3</v>
      </c>
      <c r="AC12" s="695"/>
      <c r="AD12" s="708">
        <f t="shared" si="9"/>
        <v>188</v>
      </c>
      <c r="AE12" s="709">
        <f>IFERROR(INDEX(V!R$7:R$62,MATCH(AF12,V!L$7:L$62,0)),"")</f>
        <v>82</v>
      </c>
      <c r="AF12" s="710" t="str">
        <f t="shared" si="1"/>
        <v>Andres Veski</v>
      </c>
      <c r="AG12" s="709">
        <f>IFERROR(INDEX(V!R$7:R$62,MATCH(AH12,V!L$7:L$62,0)),"")</f>
        <v>106</v>
      </c>
      <c r="AH12" s="710" t="str">
        <f t="shared" si="2"/>
        <v>Henri Mitt</v>
      </c>
      <c r="AI12" s="709" t="str">
        <f>IFERROR(INDEX(V!R$7:R$62,MATCH(AJ12,V!L$7:L$62,0)),"")</f>
        <v/>
      </c>
      <c r="AJ12" s="710" t="str">
        <f t="shared" si="3"/>
        <v/>
      </c>
      <c r="AK12" s="709" t="str">
        <f>IFERROR(INDEX(V!R$7:R$62,MATCH(AL12,V!L$7:L$62,0)),"")</f>
        <v/>
      </c>
      <c r="AL12" s="710" t="str">
        <f t="shared" si="4"/>
        <v/>
      </c>
      <c r="AM12" s="652"/>
    </row>
    <row r="13" spans="1:39" x14ac:dyDescent="0.2">
      <c r="A13" s="685">
        <v>6</v>
      </c>
      <c r="B13" s="686" t="s">
        <v>387</v>
      </c>
      <c r="C13" s="687">
        <v>13</v>
      </c>
      <c r="D13" s="688" t="s">
        <v>377</v>
      </c>
      <c r="E13" s="689">
        <v>7</v>
      </c>
      <c r="F13" s="690" t="s">
        <v>388</v>
      </c>
      <c r="G13" s="687">
        <v>8</v>
      </c>
      <c r="H13" s="688" t="s">
        <v>377</v>
      </c>
      <c r="I13" s="689">
        <v>13</v>
      </c>
      <c r="J13" s="690" t="s">
        <v>383</v>
      </c>
      <c r="K13" s="687">
        <v>9</v>
      </c>
      <c r="L13" s="688" t="s">
        <v>377</v>
      </c>
      <c r="M13" s="689">
        <v>13</v>
      </c>
      <c r="N13" s="690" t="s">
        <v>389</v>
      </c>
      <c r="O13" s="687">
        <v>7</v>
      </c>
      <c r="P13" s="688" t="s">
        <v>377</v>
      </c>
      <c r="Q13" s="689">
        <v>13</v>
      </c>
      <c r="R13" s="690" t="s">
        <v>386</v>
      </c>
      <c r="S13" s="687">
        <v>13</v>
      </c>
      <c r="T13" s="688" t="s">
        <v>377</v>
      </c>
      <c r="U13" s="689">
        <v>10</v>
      </c>
      <c r="V13" s="690" t="s">
        <v>384</v>
      </c>
      <c r="W13" s="691">
        <f t="shared" si="5"/>
        <v>2</v>
      </c>
      <c r="X13" s="692"/>
      <c r="Y13" s="687">
        <f t="shared" si="6"/>
        <v>50</v>
      </c>
      <c r="Z13" s="688" t="s">
        <v>377</v>
      </c>
      <c r="AA13" s="693">
        <f t="shared" si="7"/>
        <v>56</v>
      </c>
      <c r="AB13" s="694">
        <f t="shared" si="8"/>
        <v>-6</v>
      </c>
      <c r="AC13" s="695"/>
      <c r="AD13" s="708">
        <f t="shared" si="9"/>
        <v>220</v>
      </c>
      <c r="AE13" s="709">
        <f>IFERROR(INDEX(V!R$7:R$62,MATCH(AF13,V!L$7:L$62,0)),"")</f>
        <v>102</v>
      </c>
      <c r="AF13" s="710" t="str">
        <f t="shared" si="1"/>
        <v>Enn Tokman</v>
      </c>
      <c r="AG13" s="709">
        <f>IFERROR(INDEX(V!R$7:R$62,MATCH(AH13,V!L$7:L$62,0)),"")</f>
        <v>118</v>
      </c>
      <c r="AH13" s="710" t="str">
        <f t="shared" si="2"/>
        <v>Tarmo Bombe</v>
      </c>
      <c r="AI13" s="709" t="str">
        <f>IFERROR(INDEX(V!R$7:R$62,MATCH(AJ13,V!L$7:L$62,0)),"")</f>
        <v/>
      </c>
      <c r="AJ13" s="710" t="str">
        <f t="shared" si="3"/>
        <v/>
      </c>
      <c r="AK13" s="709" t="str">
        <f>IFERROR(INDEX(V!R$7:R$62,MATCH(AL13,V!L$7:L$62,0)),"")</f>
        <v/>
      </c>
      <c r="AL13" s="710" t="str">
        <f t="shared" si="4"/>
        <v/>
      </c>
      <c r="AM13" s="652"/>
    </row>
    <row r="14" spans="1:39" x14ac:dyDescent="0.2">
      <c r="A14" s="685">
        <v>7</v>
      </c>
      <c r="B14" s="696" t="s">
        <v>384</v>
      </c>
      <c r="C14" s="687">
        <v>13</v>
      </c>
      <c r="D14" s="688" t="s">
        <v>377</v>
      </c>
      <c r="E14" s="689">
        <v>10</v>
      </c>
      <c r="F14" s="690" t="s">
        <v>385</v>
      </c>
      <c r="G14" s="687">
        <v>13</v>
      </c>
      <c r="H14" s="688" t="s">
        <v>377</v>
      </c>
      <c r="I14" s="689">
        <v>1</v>
      </c>
      <c r="J14" s="690" t="s">
        <v>386</v>
      </c>
      <c r="K14" s="687">
        <v>6</v>
      </c>
      <c r="L14" s="688" t="s">
        <v>377</v>
      </c>
      <c r="M14" s="689">
        <v>13</v>
      </c>
      <c r="N14" s="690" t="s">
        <v>382</v>
      </c>
      <c r="O14" s="687">
        <v>7</v>
      </c>
      <c r="P14" s="688" t="s">
        <v>377</v>
      </c>
      <c r="Q14" s="689">
        <v>13</v>
      </c>
      <c r="R14" s="690" t="s">
        <v>380</v>
      </c>
      <c r="S14" s="687">
        <v>10</v>
      </c>
      <c r="T14" s="688" t="s">
        <v>377</v>
      </c>
      <c r="U14" s="689">
        <v>13</v>
      </c>
      <c r="V14" s="690" t="s">
        <v>387</v>
      </c>
      <c r="W14" s="691">
        <f t="shared" si="5"/>
        <v>2</v>
      </c>
      <c r="X14" s="692"/>
      <c r="Y14" s="687">
        <f t="shared" si="6"/>
        <v>49</v>
      </c>
      <c r="Z14" s="688" t="s">
        <v>377</v>
      </c>
      <c r="AA14" s="693">
        <f t="shared" si="7"/>
        <v>50</v>
      </c>
      <c r="AB14" s="694">
        <f t="shared" si="8"/>
        <v>-1</v>
      </c>
      <c r="AC14" s="695"/>
      <c r="AD14" s="708">
        <f t="shared" si="9"/>
        <v>91</v>
      </c>
      <c r="AE14" s="709">
        <f>IFERROR(INDEX(V!R$7:R$62,MATCH(AF14,V!L$7:L$62,0)),"")</f>
        <v>14</v>
      </c>
      <c r="AF14" s="710" t="str">
        <f t="shared" si="1"/>
        <v>Margus Vasser</v>
      </c>
      <c r="AG14" s="709">
        <f>IFERROR(INDEX(V!R$7:R$62,MATCH(AH14,V!L$7:L$62,0)),"")</f>
        <v>77</v>
      </c>
      <c r="AH14" s="710" t="str">
        <f t="shared" si="2"/>
        <v>Vello Vasser</v>
      </c>
      <c r="AI14" s="709" t="str">
        <f>IFERROR(INDEX(V!R$7:R$62,MATCH(AJ14,V!L$7:L$62,0)),"")</f>
        <v/>
      </c>
      <c r="AJ14" s="710" t="str">
        <f t="shared" si="3"/>
        <v/>
      </c>
      <c r="AK14" s="709" t="str">
        <f>IFERROR(INDEX(V!R$7:R$62,MATCH(AL14,V!L$7:L$62,0)),"")</f>
        <v/>
      </c>
      <c r="AL14" s="710" t="str">
        <f t="shared" si="4"/>
        <v/>
      </c>
      <c r="AM14" s="652"/>
    </row>
    <row r="15" spans="1:39" x14ac:dyDescent="0.2">
      <c r="A15" s="685">
        <v>8</v>
      </c>
      <c r="B15" s="696" t="s">
        <v>385</v>
      </c>
      <c r="C15" s="687">
        <v>10</v>
      </c>
      <c r="D15" s="688" t="s">
        <v>377</v>
      </c>
      <c r="E15" s="689">
        <v>13</v>
      </c>
      <c r="F15" s="690" t="s">
        <v>384</v>
      </c>
      <c r="G15" s="687">
        <v>8</v>
      </c>
      <c r="H15" s="688" t="s">
        <v>377</v>
      </c>
      <c r="I15" s="689">
        <v>13</v>
      </c>
      <c r="J15" s="690" t="s">
        <v>389</v>
      </c>
      <c r="K15" s="687">
        <v>13</v>
      </c>
      <c r="L15" s="688" t="s">
        <v>377</v>
      </c>
      <c r="M15" s="689">
        <v>9</v>
      </c>
      <c r="N15" s="690" t="s">
        <v>381</v>
      </c>
      <c r="O15" s="687">
        <v>13</v>
      </c>
      <c r="P15" s="688" t="s">
        <v>377</v>
      </c>
      <c r="Q15" s="689">
        <v>7</v>
      </c>
      <c r="R15" s="690" t="s">
        <v>388</v>
      </c>
      <c r="S15" s="687">
        <v>6</v>
      </c>
      <c r="T15" s="688" t="s">
        <v>377</v>
      </c>
      <c r="U15" s="689">
        <v>13</v>
      </c>
      <c r="V15" s="690" t="s">
        <v>380</v>
      </c>
      <c r="W15" s="691">
        <f t="shared" si="5"/>
        <v>2</v>
      </c>
      <c r="X15" s="692"/>
      <c r="Y15" s="687">
        <f t="shared" si="6"/>
        <v>50</v>
      </c>
      <c r="Z15" s="688" t="s">
        <v>377</v>
      </c>
      <c r="AA15" s="693">
        <f t="shared" si="7"/>
        <v>55</v>
      </c>
      <c r="AB15" s="694">
        <f t="shared" si="8"/>
        <v>-5</v>
      </c>
      <c r="AC15" s="695"/>
      <c r="AD15" s="708">
        <f t="shared" si="9"/>
        <v>108</v>
      </c>
      <c r="AE15" s="709">
        <f>IFERROR(INDEX(V!R$7:R$62,MATCH(AF15,V!L$7:L$62,0)),"")</f>
        <v>54</v>
      </c>
      <c r="AF15" s="710" t="str">
        <f t="shared" si="1"/>
        <v>Meelis Luud</v>
      </c>
      <c r="AG15" s="709">
        <f>IFERROR(INDEX(V!R$7:R$62,MATCH(AH15,V!L$7:L$62,0)),"")</f>
        <v>54</v>
      </c>
      <c r="AH15" s="710" t="str">
        <f t="shared" si="2"/>
        <v>Sander Rose</v>
      </c>
      <c r="AI15" s="709" t="str">
        <f>IFERROR(INDEX(V!R$7:R$62,MATCH(AJ15,V!L$7:L$62,0)),"")</f>
        <v/>
      </c>
      <c r="AJ15" s="710" t="str">
        <f t="shared" si="3"/>
        <v/>
      </c>
      <c r="AK15" s="709" t="str">
        <f>IFERROR(INDEX(V!R$7:R$62,MATCH(AL15,V!L$7:L$62,0)),"")</f>
        <v/>
      </c>
      <c r="AL15" s="710" t="str">
        <f t="shared" si="4"/>
        <v/>
      </c>
      <c r="AM15" s="652"/>
    </row>
    <row r="16" spans="1:39" x14ac:dyDescent="0.2">
      <c r="A16" s="685">
        <v>9</v>
      </c>
      <c r="B16" s="686" t="s">
        <v>381</v>
      </c>
      <c r="C16" s="687">
        <v>1</v>
      </c>
      <c r="D16" s="688" t="s">
        <v>377</v>
      </c>
      <c r="E16" s="689">
        <v>13</v>
      </c>
      <c r="F16" s="690" t="s">
        <v>380</v>
      </c>
      <c r="G16" s="687">
        <v>13</v>
      </c>
      <c r="H16" s="688" t="s">
        <v>377</v>
      </c>
      <c r="I16" s="689">
        <v>7</v>
      </c>
      <c r="J16" s="690" t="s">
        <v>388</v>
      </c>
      <c r="K16" s="687">
        <v>9</v>
      </c>
      <c r="L16" s="688" t="s">
        <v>377</v>
      </c>
      <c r="M16" s="689">
        <v>13</v>
      </c>
      <c r="N16" s="690" t="s">
        <v>385</v>
      </c>
      <c r="O16" s="687">
        <v>13</v>
      </c>
      <c r="P16" s="688" t="s">
        <v>377</v>
      </c>
      <c r="Q16" s="689">
        <v>11</v>
      </c>
      <c r="R16" s="690" t="s">
        <v>389</v>
      </c>
      <c r="S16" s="687">
        <v>9</v>
      </c>
      <c r="T16" s="688" t="s">
        <v>377</v>
      </c>
      <c r="U16" s="689">
        <v>11</v>
      </c>
      <c r="V16" s="690" t="s">
        <v>383</v>
      </c>
      <c r="W16" s="691">
        <f t="shared" si="5"/>
        <v>2</v>
      </c>
      <c r="X16" s="692"/>
      <c r="Y16" s="687">
        <f t="shared" si="6"/>
        <v>45</v>
      </c>
      <c r="Z16" s="688" t="s">
        <v>377</v>
      </c>
      <c r="AA16" s="693">
        <f t="shared" si="7"/>
        <v>55</v>
      </c>
      <c r="AB16" s="694">
        <f t="shared" si="8"/>
        <v>-10</v>
      </c>
      <c r="AC16" s="695"/>
      <c r="AD16" s="708">
        <f t="shared" si="9"/>
        <v>136</v>
      </c>
      <c r="AE16" s="709">
        <f>IFERROR(INDEX(V!R$7:R$62,MATCH(AF16,V!L$7:L$62,0)),"")</f>
        <v>75</v>
      </c>
      <c r="AF16" s="710" t="str">
        <f t="shared" si="1"/>
        <v>Tõnu Kapper</v>
      </c>
      <c r="AG16" s="709">
        <f>IFERROR(INDEX(V!R$7:R$62,MATCH(AH16,V!L$7:L$62,0)),"")</f>
        <v>61</v>
      </c>
      <c r="AH16" s="710" t="str">
        <f t="shared" si="2"/>
        <v>Vladimir Ogneštšikov</v>
      </c>
      <c r="AI16" s="709" t="str">
        <f>IFERROR(INDEX(V!R$7:R$62,MATCH(AJ16,V!L$7:L$62,0)),"")</f>
        <v/>
      </c>
      <c r="AJ16" s="710" t="str">
        <f t="shared" si="3"/>
        <v/>
      </c>
      <c r="AK16" s="709" t="str">
        <f>IFERROR(INDEX(V!R$7:R$62,MATCH(AL16,V!L$7:L$62,0)),"")</f>
        <v/>
      </c>
      <c r="AL16" s="710" t="str">
        <f t="shared" si="4"/>
        <v/>
      </c>
      <c r="AM16" s="652"/>
    </row>
    <row r="17" spans="1:39" hidden="1" x14ac:dyDescent="0.2">
      <c r="A17" s="652"/>
      <c r="B17" s="652"/>
      <c r="C17" s="652"/>
      <c r="D17" s="652"/>
      <c r="E17" s="652"/>
      <c r="F17" s="652"/>
      <c r="G17" s="652"/>
      <c r="H17" s="652"/>
      <c r="I17" s="652"/>
      <c r="J17" s="652"/>
      <c r="K17" s="652"/>
      <c r="L17" s="652"/>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row>
    <row r="18" spans="1:39" hidden="1" x14ac:dyDescent="0.2">
      <c r="A18" s="652"/>
      <c r="B18" s="652"/>
      <c r="C18" s="652"/>
      <c r="D18" s="652"/>
      <c r="E18" s="652"/>
      <c r="F18" s="652"/>
      <c r="G18" s="652"/>
      <c r="H18" s="652"/>
      <c r="I18" s="652"/>
      <c r="J18" s="652"/>
      <c r="K18" s="652"/>
      <c r="L18" s="652"/>
      <c r="M18" s="652"/>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row>
    <row r="19" spans="1:39" hidden="1" x14ac:dyDescent="0.2">
      <c r="A19" s="652"/>
      <c r="B19" s="652"/>
      <c r="C19" s="652"/>
      <c r="D19" s="652"/>
      <c r="E19" s="652"/>
      <c r="F19" s="652"/>
      <c r="G19" s="652"/>
      <c r="H19" s="652"/>
      <c r="I19" s="652"/>
      <c r="J19" s="652"/>
      <c r="K19" s="652"/>
      <c r="L19" s="652"/>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row>
    <row r="20" spans="1:39" hidden="1" x14ac:dyDescent="0.2">
      <c r="A20" s="652"/>
      <c r="B20" s="652"/>
      <c r="C20" s="652"/>
      <c r="D20" s="652"/>
      <c r="E20" s="652"/>
      <c r="F20" s="652"/>
      <c r="G20" s="652"/>
      <c r="H20" s="652"/>
      <c r="I20" s="652"/>
      <c r="J20" s="652"/>
      <c r="K20" s="652"/>
      <c r="L20" s="652"/>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row>
    <row r="21" spans="1:39" hidden="1" x14ac:dyDescent="0.2">
      <c r="A21" s="652"/>
      <c r="B21" s="652"/>
      <c r="C21" s="652"/>
      <c r="D21" s="652"/>
      <c r="E21" s="652"/>
      <c r="F21" s="652"/>
      <c r="G21" s="652"/>
      <c r="H21" s="652"/>
      <c r="I21" s="652"/>
      <c r="J21" s="652"/>
      <c r="K21" s="652"/>
      <c r="L21" s="652"/>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row>
    <row r="22" spans="1:39" hidden="1" x14ac:dyDescent="0.2">
      <c r="A22" s="652"/>
      <c r="B22" s="652"/>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row>
    <row r="23" spans="1:39" hidden="1" x14ac:dyDescent="0.2">
      <c r="A23" s="652"/>
      <c r="B23" s="652"/>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row>
    <row r="24" spans="1:39" hidden="1" x14ac:dyDescent="0.2">
      <c r="A24" s="652"/>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row>
    <row r="25" spans="1:39" hidden="1" x14ac:dyDescent="0.2">
      <c r="A25" s="652"/>
      <c r="B25" s="652"/>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row>
    <row r="26" spans="1:39" hidden="1" x14ac:dyDescent="0.2">
      <c r="A26" s="652"/>
      <c r="B26" s="652"/>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row>
    <row r="27" spans="1:39" hidden="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row>
    <row r="28" spans="1:39" hidden="1" x14ac:dyDescent="0.2">
      <c r="A28" s="652"/>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row>
    <row r="29" spans="1:39" hidden="1" x14ac:dyDescent="0.2">
      <c r="A29" s="652"/>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row>
    <row r="30" spans="1:39"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row>
    <row r="31" spans="1:39"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row>
    <row r="32" spans="1:39"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row>
    <row r="33" spans="1:39"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row>
    <row r="34" spans="1:39"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row>
    <row r="35" spans="1:39"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row>
    <row r="36" spans="1:39"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hidden="1" x14ac:dyDescent="0.2">
      <c r="A132" s="652"/>
      <c r="B132" s="652"/>
      <c r="C132" s="652"/>
      <c r="D132" s="652"/>
      <c r="E132" s="652"/>
      <c r="F132" s="652"/>
      <c r="G132" s="652"/>
      <c r="H132" s="652"/>
      <c r="I132" s="652"/>
      <c r="J132" s="652"/>
      <c r="K132" s="652"/>
      <c r="L132" s="657"/>
      <c r="M132" s="657"/>
      <c r="N132" s="657"/>
      <c r="O132" s="652"/>
      <c r="P132" s="652"/>
      <c r="Q132" s="652"/>
      <c r="R132" s="652"/>
      <c r="S132" s="652"/>
      <c r="T132" s="657"/>
      <c r="U132" s="657"/>
      <c r="V132" s="657"/>
      <c r="W132" s="652"/>
      <c r="X132" s="652"/>
      <c r="Y132" s="652"/>
      <c r="Z132" s="652"/>
      <c r="AA132" s="652"/>
      <c r="AB132" s="652"/>
      <c r="AC132" s="652"/>
      <c r="AD132" s="652"/>
      <c r="AE132" s="652"/>
      <c r="AF132" s="652"/>
      <c r="AG132" s="652"/>
      <c r="AH132" s="652"/>
      <c r="AI132" s="652"/>
      <c r="AJ132" s="652"/>
      <c r="AK132" s="652"/>
      <c r="AL132" s="652"/>
      <c r="AM132" s="652"/>
    </row>
    <row r="133" spans="1:39" hidden="1" x14ac:dyDescent="0.2">
      <c r="A133" s="652"/>
      <c r="B133" s="652"/>
      <c r="C133" s="652"/>
      <c r="D133" s="652"/>
      <c r="E133" s="652"/>
      <c r="F133" s="652"/>
      <c r="G133" s="652"/>
      <c r="H133" s="652"/>
      <c r="I133" s="652"/>
      <c r="J133" s="652"/>
      <c r="K133" s="652"/>
      <c r="L133" s="657"/>
      <c r="M133" s="657"/>
      <c r="N133" s="657"/>
      <c r="O133" s="652"/>
      <c r="P133" s="652"/>
      <c r="Q133" s="652"/>
      <c r="R133" s="652"/>
      <c r="S133" s="652"/>
      <c r="T133" s="657"/>
      <c r="U133" s="657"/>
      <c r="V133" s="657"/>
      <c r="W133" s="652"/>
      <c r="X133" s="652"/>
      <c r="Y133" s="652"/>
      <c r="Z133" s="652"/>
      <c r="AA133" s="652"/>
      <c r="AB133" s="652"/>
      <c r="AC133" s="652"/>
      <c r="AD133" s="652"/>
      <c r="AE133" s="652"/>
      <c r="AF133" s="652"/>
      <c r="AG133" s="652"/>
      <c r="AH133" s="652"/>
      <c r="AI133" s="652"/>
      <c r="AJ133" s="652"/>
      <c r="AK133" s="652"/>
      <c r="AL133" s="652"/>
      <c r="AM133" s="652"/>
    </row>
    <row r="134" spans="1:39" hidden="1" x14ac:dyDescent="0.2">
      <c r="A134" s="652"/>
      <c r="B134" s="652"/>
      <c r="C134" s="652"/>
      <c r="D134" s="652"/>
      <c r="E134" s="652"/>
      <c r="F134" s="652"/>
      <c r="G134" s="652"/>
      <c r="H134" s="652"/>
      <c r="I134" s="652"/>
      <c r="J134" s="652"/>
      <c r="K134" s="652"/>
      <c r="L134" s="657"/>
      <c r="M134" s="657"/>
      <c r="N134" s="657"/>
      <c r="O134" s="652"/>
      <c r="P134" s="652"/>
      <c r="Q134" s="652"/>
      <c r="R134" s="652"/>
      <c r="S134" s="652"/>
      <c r="T134" s="657"/>
      <c r="U134" s="657"/>
      <c r="V134" s="657"/>
      <c r="W134" s="652"/>
      <c r="X134" s="652"/>
      <c r="Y134" s="652"/>
      <c r="Z134" s="652"/>
      <c r="AA134" s="652"/>
      <c r="AB134" s="652"/>
      <c r="AC134" s="652"/>
      <c r="AD134" s="652"/>
      <c r="AE134" s="652"/>
      <c r="AF134" s="652"/>
      <c r="AG134" s="652"/>
      <c r="AH134" s="652"/>
      <c r="AI134" s="652"/>
      <c r="AJ134" s="652"/>
      <c r="AK134" s="652"/>
      <c r="AL134" s="652"/>
      <c r="AM134" s="652"/>
    </row>
    <row r="135" spans="1:39" hidden="1" x14ac:dyDescent="0.2">
      <c r="A135" s="652"/>
      <c r="B135" s="652"/>
      <c r="C135" s="652"/>
      <c r="D135" s="652"/>
      <c r="E135" s="652"/>
      <c r="F135" s="652"/>
      <c r="G135" s="652"/>
      <c r="H135" s="652"/>
      <c r="I135" s="652"/>
      <c r="J135" s="652"/>
      <c r="K135" s="652"/>
      <c r="L135" s="657"/>
      <c r="M135" s="657"/>
      <c r="N135" s="657"/>
      <c r="O135" s="652"/>
      <c r="P135" s="652"/>
      <c r="Q135" s="652"/>
      <c r="R135" s="652"/>
      <c r="S135" s="652"/>
      <c r="T135" s="657"/>
      <c r="U135" s="657"/>
      <c r="V135" s="657"/>
      <c r="W135" s="652"/>
      <c r="X135" s="652"/>
      <c r="Y135" s="652"/>
      <c r="Z135" s="652"/>
      <c r="AA135" s="652"/>
      <c r="AB135" s="652"/>
      <c r="AC135" s="652"/>
      <c r="AD135" s="652"/>
      <c r="AE135" s="652"/>
      <c r="AF135" s="652"/>
      <c r="AG135" s="652"/>
      <c r="AH135" s="652"/>
      <c r="AI135" s="652"/>
      <c r="AJ135" s="652"/>
      <c r="AK135" s="652"/>
      <c r="AL135" s="652"/>
      <c r="AM135" s="652"/>
    </row>
    <row r="136" spans="1:39" hidden="1" x14ac:dyDescent="0.2">
      <c r="A136" s="652"/>
      <c r="B136" s="652"/>
      <c r="C136" s="652"/>
      <c r="D136" s="652"/>
      <c r="E136" s="652"/>
      <c r="F136" s="652"/>
      <c r="G136" s="652"/>
      <c r="H136" s="652"/>
      <c r="I136" s="652"/>
      <c r="J136" s="652"/>
      <c r="K136" s="652"/>
      <c r="L136" s="657"/>
      <c r="M136" s="657"/>
      <c r="N136" s="657"/>
      <c r="O136" s="652"/>
      <c r="P136" s="652"/>
      <c r="Q136" s="652"/>
      <c r="R136" s="652"/>
      <c r="S136" s="652"/>
      <c r="T136" s="657"/>
      <c r="U136" s="657"/>
      <c r="V136" s="657"/>
      <c r="W136" s="652"/>
      <c r="X136" s="652"/>
      <c r="Y136" s="652"/>
      <c r="Z136" s="652"/>
      <c r="AA136" s="652"/>
      <c r="AB136" s="652"/>
      <c r="AC136" s="652"/>
      <c r="AD136" s="652"/>
      <c r="AE136" s="652"/>
      <c r="AF136" s="652"/>
      <c r="AG136" s="652"/>
      <c r="AH136" s="652"/>
      <c r="AI136" s="652"/>
      <c r="AJ136" s="652"/>
      <c r="AK136" s="652"/>
      <c r="AL136" s="652"/>
      <c r="AM136" s="652"/>
    </row>
    <row r="137" spans="1:39" hidden="1" x14ac:dyDescent="0.2">
      <c r="A137" s="652"/>
      <c r="B137" s="652"/>
      <c r="C137" s="652"/>
      <c r="D137" s="652"/>
      <c r="E137" s="652"/>
      <c r="F137" s="652"/>
      <c r="G137" s="652"/>
      <c r="H137" s="652"/>
      <c r="I137" s="652"/>
      <c r="J137" s="652"/>
      <c r="K137" s="652"/>
      <c r="L137" s="657"/>
      <c r="M137" s="657"/>
      <c r="N137" s="657"/>
      <c r="O137" s="652"/>
      <c r="P137" s="652"/>
      <c r="Q137" s="652"/>
      <c r="R137" s="652"/>
      <c r="S137" s="652"/>
      <c r="T137" s="657"/>
      <c r="U137" s="657"/>
      <c r="V137" s="657"/>
      <c r="W137" s="652"/>
      <c r="X137" s="652"/>
      <c r="Y137" s="652"/>
      <c r="Z137" s="652"/>
      <c r="AA137" s="652"/>
      <c r="AB137" s="652"/>
      <c r="AC137" s="652"/>
      <c r="AD137" s="652"/>
      <c r="AE137" s="652"/>
      <c r="AF137" s="652"/>
      <c r="AG137" s="652"/>
      <c r="AH137" s="652"/>
      <c r="AI137" s="652"/>
      <c r="AJ137" s="652"/>
      <c r="AK137" s="652"/>
      <c r="AL137" s="652"/>
      <c r="AM137" s="652"/>
    </row>
    <row r="138" spans="1:39" hidden="1" x14ac:dyDescent="0.2">
      <c r="A138" s="652"/>
      <c r="B138" s="652"/>
      <c r="C138" s="652"/>
      <c r="D138" s="652"/>
      <c r="E138" s="652"/>
      <c r="F138" s="652"/>
      <c r="G138" s="652"/>
      <c r="H138" s="652"/>
      <c r="I138" s="652"/>
      <c r="J138" s="652"/>
      <c r="K138" s="652"/>
      <c r="L138" s="657"/>
      <c r="M138" s="657"/>
      <c r="N138" s="657"/>
      <c r="O138" s="652"/>
      <c r="P138" s="652"/>
      <c r="Q138" s="652"/>
      <c r="R138" s="652"/>
      <c r="S138" s="652"/>
      <c r="T138" s="657"/>
      <c r="U138" s="657"/>
      <c r="V138" s="657"/>
      <c r="W138" s="652"/>
      <c r="X138" s="652"/>
      <c r="Y138" s="652"/>
      <c r="Z138" s="652"/>
      <c r="AA138" s="652"/>
      <c r="AB138" s="652"/>
      <c r="AC138" s="652"/>
      <c r="AD138" s="652"/>
      <c r="AE138" s="652"/>
      <c r="AF138" s="652"/>
      <c r="AG138" s="652"/>
      <c r="AH138" s="652"/>
      <c r="AI138" s="652"/>
      <c r="AJ138" s="652"/>
      <c r="AK138" s="652"/>
      <c r="AL138" s="652"/>
      <c r="AM138" s="652"/>
    </row>
    <row r="139" spans="1:39" hidden="1" x14ac:dyDescent="0.2">
      <c r="A139" s="652"/>
      <c r="B139" s="652"/>
      <c r="C139" s="652"/>
      <c r="D139" s="652"/>
      <c r="E139" s="652"/>
      <c r="F139" s="652"/>
      <c r="G139" s="652"/>
      <c r="H139" s="652"/>
      <c r="I139" s="652"/>
      <c r="J139" s="652"/>
      <c r="K139" s="652"/>
      <c r="L139" s="657"/>
      <c r="M139" s="657"/>
      <c r="N139" s="657"/>
      <c r="O139" s="652"/>
      <c r="P139" s="652"/>
      <c r="Q139" s="652"/>
      <c r="R139" s="652"/>
      <c r="S139" s="652"/>
      <c r="T139" s="657"/>
      <c r="U139" s="657"/>
      <c r="V139" s="657"/>
      <c r="W139" s="652"/>
      <c r="X139" s="652"/>
      <c r="Y139" s="652"/>
      <c r="Z139" s="652"/>
      <c r="AA139" s="652"/>
      <c r="AB139" s="652"/>
      <c r="AC139" s="652"/>
      <c r="AD139" s="652"/>
      <c r="AE139" s="652"/>
      <c r="AF139" s="652"/>
      <c r="AG139" s="652"/>
      <c r="AH139" s="652"/>
      <c r="AI139" s="652"/>
      <c r="AJ139" s="652"/>
      <c r="AK139" s="652"/>
      <c r="AL139" s="652"/>
      <c r="AM139" s="652"/>
    </row>
    <row r="140" spans="1:39" hidden="1" x14ac:dyDescent="0.2">
      <c r="A140" s="652"/>
      <c r="B140" s="652"/>
      <c r="C140" s="652"/>
      <c r="D140" s="652"/>
      <c r="E140" s="652"/>
      <c r="F140" s="652"/>
      <c r="G140" s="652"/>
      <c r="H140" s="652"/>
      <c r="I140" s="652"/>
      <c r="J140" s="652"/>
      <c r="K140" s="652"/>
      <c r="L140" s="657"/>
      <c r="M140" s="657"/>
      <c r="N140" s="657"/>
      <c r="O140" s="652"/>
      <c r="P140" s="652"/>
      <c r="Q140" s="652"/>
      <c r="R140" s="652"/>
      <c r="S140" s="652"/>
      <c r="T140" s="657"/>
      <c r="U140" s="657"/>
      <c r="V140" s="657"/>
      <c r="W140" s="652"/>
      <c r="X140" s="652"/>
      <c r="Y140" s="652"/>
      <c r="Z140" s="652"/>
      <c r="AA140" s="652"/>
      <c r="AB140" s="652"/>
      <c r="AC140" s="652"/>
      <c r="AD140" s="652"/>
      <c r="AE140" s="652"/>
      <c r="AF140" s="652"/>
      <c r="AG140" s="652"/>
      <c r="AH140" s="652"/>
      <c r="AI140" s="652"/>
      <c r="AJ140" s="652"/>
      <c r="AK140" s="652"/>
      <c r="AL140" s="652"/>
      <c r="AM140" s="652"/>
    </row>
    <row r="141" spans="1:39" hidden="1" x14ac:dyDescent="0.2">
      <c r="A141" s="652"/>
      <c r="B141" s="652"/>
      <c r="C141" s="652"/>
      <c r="D141" s="652"/>
      <c r="E141" s="652"/>
      <c r="F141" s="652"/>
      <c r="G141" s="652"/>
      <c r="H141" s="652"/>
      <c r="I141" s="652"/>
      <c r="J141" s="652"/>
      <c r="K141" s="652"/>
      <c r="L141" s="657"/>
      <c r="M141" s="657"/>
      <c r="N141" s="657"/>
      <c r="O141" s="652"/>
      <c r="P141" s="652"/>
      <c r="Q141" s="652"/>
      <c r="R141" s="652"/>
      <c r="S141" s="652"/>
      <c r="T141" s="657"/>
      <c r="U141" s="657"/>
      <c r="V141" s="657"/>
      <c r="W141" s="652"/>
      <c r="X141" s="652"/>
      <c r="Y141" s="652"/>
      <c r="Z141" s="652"/>
      <c r="AA141" s="652"/>
      <c r="AB141" s="652"/>
      <c r="AC141" s="652"/>
      <c r="AD141" s="652"/>
      <c r="AE141" s="652"/>
      <c r="AF141" s="652"/>
      <c r="AG141" s="652"/>
      <c r="AH141" s="652"/>
      <c r="AI141" s="652"/>
      <c r="AJ141" s="652"/>
      <c r="AK141" s="652"/>
      <c r="AL141" s="652"/>
      <c r="AM141" s="652"/>
    </row>
    <row r="142" spans="1:39" hidden="1" x14ac:dyDescent="0.2">
      <c r="A142" s="652"/>
      <c r="B142" s="652"/>
      <c r="C142" s="652"/>
      <c r="D142" s="652"/>
      <c r="E142" s="652"/>
      <c r="F142" s="652"/>
      <c r="G142" s="652"/>
      <c r="H142" s="652"/>
      <c r="I142" s="652"/>
      <c r="J142" s="652"/>
      <c r="K142" s="652"/>
      <c r="L142" s="657"/>
      <c r="M142" s="657"/>
      <c r="N142" s="657"/>
      <c r="O142" s="652"/>
      <c r="P142" s="652"/>
      <c r="Q142" s="652"/>
      <c r="R142" s="652"/>
      <c r="S142" s="652"/>
      <c r="T142" s="657"/>
      <c r="U142" s="657"/>
      <c r="V142" s="657"/>
      <c r="W142" s="652"/>
      <c r="X142" s="652"/>
      <c r="Y142" s="652"/>
      <c r="Z142" s="652"/>
      <c r="AA142" s="652"/>
      <c r="AB142" s="652"/>
      <c r="AC142" s="652"/>
      <c r="AD142" s="652"/>
      <c r="AE142" s="652"/>
      <c r="AF142" s="652"/>
      <c r="AG142" s="652"/>
      <c r="AH142" s="652"/>
      <c r="AI142" s="652"/>
      <c r="AJ142" s="652"/>
      <c r="AK142" s="652"/>
      <c r="AL142" s="652"/>
      <c r="AM142" s="652"/>
    </row>
    <row r="143" spans="1:39" hidden="1" x14ac:dyDescent="0.2">
      <c r="A143" s="652"/>
      <c r="B143" s="652"/>
      <c r="C143" s="652"/>
      <c r="D143" s="652"/>
      <c r="E143" s="652"/>
      <c r="F143" s="652"/>
      <c r="G143" s="652"/>
      <c r="H143" s="652"/>
      <c r="I143" s="652"/>
      <c r="J143" s="652"/>
      <c r="K143" s="652"/>
      <c r="L143" s="657"/>
      <c r="M143" s="657"/>
      <c r="N143" s="657"/>
      <c r="O143" s="652"/>
      <c r="P143" s="652"/>
      <c r="Q143" s="652"/>
      <c r="R143" s="652"/>
      <c r="S143" s="652"/>
      <c r="T143" s="657"/>
      <c r="U143" s="657"/>
      <c r="V143" s="657"/>
      <c r="W143" s="652"/>
      <c r="X143" s="652"/>
      <c r="Y143" s="652"/>
      <c r="Z143" s="652"/>
      <c r="AA143" s="652"/>
      <c r="AB143" s="652"/>
      <c r="AC143" s="652"/>
      <c r="AD143" s="652"/>
      <c r="AE143" s="652"/>
      <c r="AF143" s="652"/>
      <c r="AG143" s="652"/>
      <c r="AH143" s="652"/>
      <c r="AI143" s="652"/>
      <c r="AJ143" s="652"/>
      <c r="AK143" s="652"/>
      <c r="AL143" s="652"/>
      <c r="AM143" s="652"/>
    </row>
    <row r="144" spans="1:39" hidden="1" x14ac:dyDescent="0.2">
      <c r="A144" s="652"/>
      <c r="B144" s="652"/>
      <c r="C144" s="652"/>
      <c r="D144" s="652"/>
      <c r="E144" s="652"/>
      <c r="F144" s="652"/>
      <c r="G144" s="652"/>
      <c r="H144" s="652"/>
      <c r="I144" s="652"/>
      <c r="J144" s="652"/>
      <c r="K144" s="652"/>
      <c r="L144" s="657"/>
      <c r="M144" s="657"/>
      <c r="N144" s="657"/>
      <c r="O144" s="652"/>
      <c r="P144" s="652"/>
      <c r="Q144" s="652"/>
      <c r="R144" s="652"/>
      <c r="S144" s="652"/>
      <c r="T144" s="657"/>
      <c r="U144" s="657"/>
      <c r="V144" s="657"/>
      <c r="W144" s="652"/>
      <c r="X144" s="652"/>
      <c r="Y144" s="652"/>
      <c r="Z144" s="652"/>
      <c r="AA144" s="652"/>
      <c r="AB144" s="652"/>
      <c r="AC144" s="652"/>
      <c r="AD144" s="652"/>
      <c r="AE144" s="652"/>
      <c r="AF144" s="652"/>
      <c r="AG144" s="652"/>
      <c r="AH144" s="652"/>
      <c r="AI144" s="652"/>
      <c r="AJ144" s="652"/>
      <c r="AK144" s="652"/>
      <c r="AL144" s="652"/>
      <c r="AM144" s="652"/>
    </row>
    <row r="145" spans="1:39"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652"/>
      <c r="AF145" s="652"/>
      <c r="AG145" s="652"/>
      <c r="AH145" s="652"/>
      <c r="AI145" s="652"/>
      <c r="AJ145" s="652"/>
      <c r="AK145" s="652"/>
      <c r="AL145" s="652"/>
      <c r="AM145" s="652"/>
    </row>
    <row r="146" spans="1:39"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652"/>
      <c r="AF146" s="652"/>
      <c r="AG146" s="652"/>
      <c r="AH146" s="652"/>
      <c r="AI146" s="652"/>
      <c r="AJ146" s="652"/>
      <c r="AK146" s="652"/>
      <c r="AL146" s="652"/>
      <c r="AM146" s="652"/>
    </row>
    <row r="147" spans="1:39"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hidden="1" x14ac:dyDescent="0.2">
      <c r="A148" s="652"/>
      <c r="B148" s="652"/>
      <c r="C148" s="652"/>
      <c r="D148" s="652"/>
      <c r="E148" s="652"/>
      <c r="F148" s="652"/>
      <c r="G148" s="652"/>
      <c r="H148" s="652"/>
      <c r="I148" s="652"/>
      <c r="J148" s="652"/>
      <c r="K148" s="652"/>
      <c r="L148" s="652"/>
      <c r="M148" s="652"/>
      <c r="N148" s="652"/>
      <c r="O148" s="652"/>
      <c r="P148" s="652"/>
      <c r="Q148" s="652"/>
      <c r="R148" s="652"/>
      <c r="S148" s="652"/>
      <c r="T148" s="652"/>
      <c r="U148" s="652"/>
      <c r="V148" s="652"/>
      <c r="W148" s="652"/>
      <c r="X148" s="652"/>
      <c r="Y148" s="652"/>
      <c r="Z148" s="652"/>
      <c r="AA148" s="652"/>
      <c r="AB148" s="652"/>
      <c r="AC148" s="652"/>
      <c r="AD148" s="652"/>
      <c r="AE148" s="652"/>
      <c r="AF148" s="652"/>
      <c r="AG148" s="652"/>
      <c r="AH148" s="652"/>
      <c r="AI148" s="652"/>
      <c r="AJ148" s="652"/>
      <c r="AK148" s="652"/>
      <c r="AL148" s="652"/>
      <c r="AM148" s="652"/>
    </row>
    <row r="149" spans="1:39" hidden="1" x14ac:dyDescent="0.2">
      <c r="A149" s="652"/>
      <c r="B149" s="652"/>
      <c r="C149" s="652"/>
      <c r="D149" s="652"/>
      <c r="E149" s="652"/>
      <c r="F149" s="652"/>
      <c r="G149" s="652"/>
      <c r="H149" s="652"/>
      <c r="I149" s="652"/>
      <c r="J149" s="652"/>
      <c r="K149" s="652"/>
      <c r="L149" s="652"/>
      <c r="M149" s="652"/>
      <c r="N149" s="652"/>
      <c r="O149" s="652"/>
      <c r="P149" s="652"/>
      <c r="Q149" s="652"/>
      <c r="R149" s="652"/>
      <c r="S149" s="652"/>
      <c r="T149" s="652"/>
      <c r="U149" s="652"/>
      <c r="V149" s="652"/>
      <c r="W149" s="652"/>
      <c r="X149" s="652"/>
      <c r="Y149" s="652"/>
      <c r="Z149" s="652"/>
      <c r="AA149" s="652"/>
      <c r="AB149" s="652"/>
      <c r="AC149" s="652"/>
      <c r="AD149" s="652"/>
      <c r="AE149" s="652"/>
      <c r="AF149" s="652"/>
      <c r="AG149" s="652"/>
      <c r="AH149" s="652"/>
      <c r="AI149" s="652"/>
      <c r="AJ149" s="652"/>
      <c r="AK149" s="652"/>
      <c r="AL149" s="652"/>
      <c r="AM149" s="652"/>
    </row>
    <row r="150" spans="1:39" hidden="1" x14ac:dyDescent="0.2">
      <c r="A150" s="652"/>
      <c r="B150" s="652"/>
      <c r="C150" s="652"/>
      <c r="D150" s="652"/>
      <c r="E150" s="652"/>
      <c r="F150" s="652"/>
      <c r="G150" s="652"/>
      <c r="H150" s="652"/>
      <c r="I150" s="652"/>
      <c r="J150" s="652"/>
      <c r="K150" s="652"/>
      <c r="L150" s="652"/>
      <c r="M150" s="652"/>
      <c r="N150" s="652"/>
      <c r="O150" s="652"/>
      <c r="P150" s="652"/>
      <c r="Q150" s="652"/>
      <c r="R150" s="652"/>
      <c r="S150" s="652"/>
      <c r="T150" s="652"/>
      <c r="U150" s="652"/>
      <c r="V150" s="652"/>
      <c r="W150" s="652"/>
      <c r="X150" s="652"/>
      <c r="Y150" s="652"/>
      <c r="Z150" s="652"/>
      <c r="AA150" s="652"/>
      <c r="AB150" s="652"/>
      <c r="AC150" s="652"/>
      <c r="AD150" s="652"/>
      <c r="AE150" s="652"/>
      <c r="AF150" s="652"/>
      <c r="AG150" s="652"/>
      <c r="AH150" s="652"/>
      <c r="AI150" s="652"/>
      <c r="AJ150" s="652"/>
      <c r="AK150" s="652"/>
      <c r="AL150" s="652"/>
      <c r="AM150" s="652"/>
    </row>
    <row r="151" spans="1:39" hidden="1" x14ac:dyDescent="0.2">
      <c r="A151" s="652"/>
      <c r="B151" s="652"/>
      <c r="C151" s="652"/>
      <c r="D151" s="652"/>
      <c r="E151" s="652"/>
      <c r="F151" s="652"/>
      <c r="G151" s="652"/>
      <c r="H151" s="652"/>
      <c r="I151" s="652"/>
      <c r="J151" s="652"/>
      <c r="K151" s="652"/>
      <c r="L151" s="652"/>
      <c r="M151" s="652"/>
      <c r="N151" s="652"/>
      <c r="O151" s="652"/>
      <c r="P151" s="652"/>
      <c r="Q151" s="652"/>
      <c r="R151" s="652"/>
      <c r="S151" s="652"/>
      <c r="T151" s="652"/>
      <c r="U151" s="652"/>
      <c r="V151" s="652"/>
      <c r="W151" s="652"/>
      <c r="X151" s="652"/>
      <c r="Y151" s="652"/>
      <c r="Z151" s="652"/>
      <c r="AA151" s="652"/>
      <c r="AB151" s="652"/>
      <c r="AC151" s="652"/>
      <c r="AD151" s="652"/>
      <c r="AE151" s="652"/>
      <c r="AF151" s="652"/>
      <c r="AG151" s="652"/>
      <c r="AH151" s="652"/>
      <c r="AI151" s="652"/>
      <c r="AJ151" s="652"/>
      <c r="AK151" s="652"/>
      <c r="AL151" s="652"/>
      <c r="AM151" s="652"/>
    </row>
    <row r="152" spans="1:39" hidden="1" x14ac:dyDescent="0.2">
      <c r="A152" s="652"/>
      <c r="B152" s="652"/>
      <c r="C152" s="652"/>
      <c r="D152" s="652"/>
      <c r="E152" s="652"/>
      <c r="F152" s="652"/>
      <c r="G152" s="652"/>
      <c r="H152" s="652"/>
      <c r="I152" s="652"/>
      <c r="J152" s="652"/>
      <c r="K152" s="652"/>
      <c r="L152" s="652"/>
      <c r="M152" s="652"/>
      <c r="N152" s="652"/>
      <c r="O152" s="652"/>
      <c r="P152" s="652"/>
      <c r="Q152" s="652"/>
      <c r="R152" s="652"/>
      <c r="S152" s="652"/>
      <c r="T152" s="652"/>
      <c r="U152" s="652"/>
      <c r="V152" s="652"/>
      <c r="W152" s="652"/>
      <c r="X152" s="652"/>
      <c r="Y152" s="652"/>
      <c r="Z152" s="652"/>
      <c r="AA152" s="652"/>
      <c r="AB152" s="652"/>
      <c r="AC152" s="652"/>
      <c r="AD152" s="652"/>
      <c r="AE152" s="652"/>
      <c r="AF152" s="652"/>
      <c r="AG152" s="652"/>
      <c r="AH152" s="652"/>
      <c r="AI152" s="652"/>
      <c r="AJ152" s="652"/>
      <c r="AK152" s="652"/>
      <c r="AL152" s="652"/>
      <c r="AM152" s="652"/>
    </row>
    <row r="153" spans="1:39" hidden="1" x14ac:dyDescent="0.2">
      <c r="A153" s="652"/>
      <c r="B153" s="652"/>
      <c r="C153" s="652"/>
      <c r="D153" s="652"/>
      <c r="E153" s="652"/>
      <c r="F153" s="652"/>
      <c r="G153" s="652"/>
      <c r="H153" s="652"/>
      <c r="I153" s="652"/>
      <c r="J153" s="652"/>
      <c r="K153" s="652"/>
      <c r="L153" s="652"/>
      <c r="M153" s="652"/>
      <c r="N153" s="652"/>
      <c r="O153" s="652"/>
      <c r="P153" s="652"/>
      <c r="Q153" s="652"/>
      <c r="R153" s="652"/>
      <c r="S153" s="652"/>
      <c r="T153" s="652"/>
      <c r="U153" s="652"/>
      <c r="V153" s="652"/>
      <c r="W153" s="652"/>
      <c r="X153" s="652"/>
      <c r="Y153" s="652"/>
      <c r="Z153" s="652"/>
      <c r="AA153" s="652"/>
      <c r="AB153" s="652"/>
      <c r="AC153" s="652"/>
      <c r="AD153" s="652"/>
      <c r="AE153" s="652"/>
      <c r="AF153" s="652"/>
      <c r="AG153" s="652"/>
      <c r="AH153" s="652"/>
      <c r="AI153" s="652"/>
      <c r="AJ153" s="652"/>
      <c r="AK153" s="652"/>
      <c r="AL153" s="652"/>
      <c r="AM153" s="652"/>
    </row>
    <row r="154" spans="1:39" hidden="1" x14ac:dyDescent="0.2">
      <c r="A154" s="652"/>
      <c r="B154" s="652"/>
      <c r="C154" s="652"/>
      <c r="D154" s="652"/>
      <c r="E154" s="652"/>
      <c r="F154" s="652"/>
      <c r="G154" s="652"/>
      <c r="H154" s="652"/>
      <c r="I154" s="652"/>
      <c r="J154" s="652"/>
      <c r="K154" s="652"/>
      <c r="L154" s="652"/>
      <c r="M154" s="652"/>
      <c r="N154" s="652"/>
      <c r="O154" s="652"/>
      <c r="P154" s="652"/>
      <c r="Q154" s="652"/>
      <c r="R154" s="652"/>
      <c r="S154" s="652"/>
      <c r="T154" s="652"/>
      <c r="U154" s="652"/>
      <c r="V154" s="652"/>
      <c r="W154" s="652"/>
      <c r="X154" s="652"/>
      <c r="Y154" s="652"/>
      <c r="Z154" s="652"/>
      <c r="AA154" s="652"/>
      <c r="AB154" s="652"/>
      <c r="AC154" s="652"/>
      <c r="AD154" s="652"/>
      <c r="AE154" s="652"/>
      <c r="AF154" s="652"/>
      <c r="AG154" s="652"/>
      <c r="AH154" s="652"/>
      <c r="AI154" s="652"/>
      <c r="AJ154" s="652"/>
      <c r="AK154" s="652"/>
      <c r="AL154" s="652"/>
      <c r="AM154" s="652"/>
    </row>
    <row r="155" spans="1:39" hidden="1" x14ac:dyDescent="0.2">
      <c r="A155" s="652"/>
      <c r="B155" s="652"/>
      <c r="C155" s="652"/>
      <c r="D155" s="652"/>
      <c r="E155" s="652"/>
      <c r="F155" s="652"/>
      <c r="G155" s="652"/>
      <c r="H155" s="652"/>
      <c r="I155" s="652"/>
      <c r="J155" s="652"/>
      <c r="K155" s="652"/>
      <c r="L155" s="652"/>
      <c r="M155" s="652"/>
      <c r="N155" s="652"/>
      <c r="O155" s="652"/>
      <c r="P155" s="652"/>
      <c r="Q155" s="652"/>
      <c r="R155" s="652"/>
      <c r="S155" s="652"/>
      <c r="T155" s="652"/>
      <c r="U155" s="652"/>
      <c r="V155" s="652"/>
      <c r="W155" s="652"/>
      <c r="X155" s="652"/>
      <c r="Y155" s="652"/>
      <c r="Z155" s="652"/>
      <c r="AA155" s="652"/>
      <c r="AB155" s="652"/>
      <c r="AC155" s="652"/>
      <c r="AD155" s="652"/>
      <c r="AE155" s="652"/>
      <c r="AF155" s="652"/>
      <c r="AG155" s="652"/>
      <c r="AH155" s="652"/>
      <c r="AI155" s="652"/>
      <c r="AJ155" s="652"/>
      <c r="AK155" s="652"/>
      <c r="AL155" s="652"/>
      <c r="AM155" s="652"/>
    </row>
    <row r="156" spans="1:39" hidden="1" x14ac:dyDescent="0.2">
      <c r="A156" s="652"/>
      <c r="B156" s="652"/>
      <c r="C156" s="652"/>
      <c r="D156" s="652"/>
      <c r="E156" s="652"/>
      <c r="F156" s="652"/>
      <c r="G156" s="652"/>
      <c r="H156" s="652"/>
      <c r="I156" s="652"/>
      <c r="J156" s="652"/>
      <c r="K156" s="652"/>
      <c r="L156" s="652"/>
      <c r="M156" s="652"/>
      <c r="N156" s="652"/>
      <c r="O156" s="652"/>
      <c r="P156" s="652"/>
      <c r="Q156" s="652"/>
      <c r="R156" s="652"/>
      <c r="S156" s="652"/>
      <c r="T156" s="652"/>
      <c r="U156" s="652"/>
      <c r="V156" s="652"/>
      <c r="W156" s="652"/>
      <c r="X156" s="652"/>
      <c r="Y156" s="652"/>
      <c r="Z156" s="652"/>
      <c r="AA156" s="652"/>
      <c r="AB156" s="652"/>
      <c r="AC156" s="652"/>
      <c r="AD156" s="652"/>
      <c r="AE156" s="652"/>
      <c r="AF156" s="652"/>
      <c r="AG156" s="652"/>
      <c r="AH156" s="652"/>
      <c r="AI156" s="652"/>
      <c r="AJ156" s="652"/>
      <c r="AK156" s="652"/>
      <c r="AL156" s="652"/>
      <c r="AM156" s="652"/>
    </row>
    <row r="157" spans="1:39" hidden="1" x14ac:dyDescent="0.2">
      <c r="A157" s="652"/>
      <c r="B157" s="652"/>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652"/>
      <c r="AK157" s="652"/>
      <c r="AL157" s="652"/>
      <c r="AM157" s="652"/>
    </row>
    <row r="158" spans="1:39" hidden="1" x14ac:dyDescent="0.2">
      <c r="A158" s="652"/>
      <c r="B158" s="652"/>
      <c r="C158" s="652"/>
      <c r="D158" s="652"/>
      <c r="E158" s="652"/>
      <c r="F158" s="652"/>
      <c r="G158" s="652"/>
      <c r="H158" s="652"/>
      <c r="I158" s="652"/>
      <c r="J158" s="652"/>
      <c r="K158" s="652"/>
      <c r="L158" s="652"/>
      <c r="M158" s="652"/>
      <c r="N158" s="652"/>
      <c r="O158" s="652"/>
      <c r="P158" s="652"/>
      <c r="Q158" s="652"/>
      <c r="R158" s="652"/>
      <c r="S158" s="652"/>
      <c r="T158" s="652"/>
      <c r="U158" s="652"/>
      <c r="V158" s="652"/>
      <c r="W158" s="652"/>
      <c r="X158" s="652"/>
      <c r="Y158" s="652"/>
      <c r="Z158" s="652"/>
      <c r="AA158" s="652"/>
      <c r="AB158" s="652"/>
      <c r="AC158" s="652"/>
      <c r="AD158" s="652"/>
      <c r="AE158" s="652"/>
      <c r="AF158" s="652"/>
      <c r="AG158" s="652"/>
      <c r="AH158" s="652"/>
      <c r="AI158" s="652"/>
      <c r="AJ158" s="652"/>
      <c r="AK158" s="652"/>
      <c r="AL158" s="652"/>
      <c r="AM158" s="652"/>
    </row>
    <row r="159" spans="1:39" hidden="1" x14ac:dyDescent="0.2">
      <c r="A159" s="652"/>
      <c r="B159" s="652"/>
      <c r="C159" s="652"/>
      <c r="D159" s="652"/>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652"/>
      <c r="AF159" s="652"/>
      <c r="AG159" s="652"/>
      <c r="AH159" s="652"/>
      <c r="AI159" s="652"/>
      <c r="AJ159" s="652"/>
      <c r="AK159" s="652"/>
      <c r="AL159" s="652"/>
      <c r="AM159" s="652"/>
    </row>
    <row r="160" spans="1:39" hidden="1" x14ac:dyDescent="0.2">
      <c r="A160" s="652"/>
      <c r="B160" s="652"/>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row>
    <row r="161" spans="1:39" hidden="1" x14ac:dyDescent="0.2">
      <c r="A161" s="652"/>
      <c r="B161" s="652"/>
      <c r="C161" s="652"/>
      <c r="D161" s="652"/>
      <c r="E161" s="652"/>
      <c r="F161" s="652"/>
      <c r="G161" s="652"/>
      <c r="H161" s="652"/>
      <c r="I161" s="652"/>
      <c r="J161" s="652"/>
      <c r="K161" s="652"/>
      <c r="L161" s="657"/>
      <c r="M161" s="657"/>
      <c r="N161" s="657"/>
      <c r="O161" s="652"/>
      <c r="P161" s="652"/>
      <c r="Q161" s="652"/>
      <c r="R161" s="652"/>
      <c r="S161" s="652"/>
      <c r="T161" s="657"/>
      <c r="U161" s="657"/>
      <c r="V161" s="657"/>
      <c r="W161" s="652"/>
      <c r="X161" s="652"/>
      <c r="Y161" s="652"/>
      <c r="Z161" s="652"/>
      <c r="AA161" s="652"/>
      <c r="AB161" s="652"/>
      <c r="AC161" s="652"/>
      <c r="AD161" s="652"/>
      <c r="AE161" s="652"/>
      <c r="AF161" s="652"/>
      <c r="AG161" s="652"/>
      <c r="AH161" s="652"/>
      <c r="AI161" s="652"/>
      <c r="AJ161" s="652"/>
      <c r="AK161" s="652"/>
      <c r="AL161" s="652"/>
      <c r="AM161" s="652"/>
    </row>
    <row r="162" spans="1:39" hidden="1" x14ac:dyDescent="0.2">
      <c r="A162" s="652"/>
      <c r="B162" s="652"/>
      <c r="C162" s="652"/>
      <c r="D162" s="652"/>
      <c r="E162" s="652"/>
      <c r="F162" s="652"/>
      <c r="G162" s="652"/>
      <c r="H162" s="652"/>
      <c r="I162" s="652"/>
      <c r="J162" s="652"/>
      <c r="K162" s="652"/>
      <c r="L162" s="657"/>
      <c r="M162" s="657"/>
      <c r="N162" s="657"/>
      <c r="O162" s="652"/>
      <c r="P162" s="652"/>
      <c r="Q162" s="652"/>
      <c r="R162" s="652"/>
      <c r="S162" s="652"/>
      <c r="T162" s="657"/>
      <c r="U162" s="657"/>
      <c r="V162" s="657"/>
      <c r="W162" s="652"/>
      <c r="X162" s="652"/>
      <c r="Y162" s="652"/>
      <c r="Z162" s="652"/>
      <c r="AA162" s="652"/>
      <c r="AB162" s="652"/>
      <c r="AC162" s="652"/>
      <c r="AD162" s="652"/>
      <c r="AE162" s="652"/>
      <c r="AF162" s="652"/>
      <c r="AG162" s="652"/>
      <c r="AH162" s="652"/>
      <c r="AI162" s="652"/>
      <c r="AJ162" s="652"/>
      <c r="AK162" s="652"/>
      <c r="AL162" s="652"/>
      <c r="AM162" s="652"/>
    </row>
    <row r="163" spans="1:39" hidden="1" x14ac:dyDescent="0.2">
      <c r="A163" s="652"/>
      <c r="B163" s="652"/>
      <c r="C163" s="652"/>
      <c r="D163" s="652"/>
      <c r="E163" s="652"/>
      <c r="F163" s="652"/>
      <c r="G163" s="652"/>
      <c r="H163" s="652"/>
      <c r="I163" s="652"/>
      <c r="J163" s="652"/>
      <c r="K163" s="652"/>
      <c r="L163" s="657"/>
      <c r="M163" s="657"/>
      <c r="N163" s="657"/>
      <c r="O163" s="652"/>
      <c r="P163" s="652"/>
      <c r="Q163" s="652"/>
      <c r="R163" s="652"/>
      <c r="S163" s="652"/>
      <c r="T163" s="657"/>
      <c r="U163" s="657"/>
      <c r="V163" s="657"/>
      <c r="W163" s="652"/>
      <c r="X163" s="652"/>
      <c r="Y163" s="652"/>
      <c r="Z163" s="652"/>
      <c r="AA163" s="652"/>
      <c r="AB163" s="652"/>
      <c r="AC163" s="652"/>
      <c r="AD163" s="652"/>
      <c r="AE163" s="652"/>
      <c r="AF163" s="652"/>
      <c r="AG163" s="652"/>
      <c r="AH163" s="652"/>
      <c r="AI163" s="652"/>
      <c r="AJ163" s="652"/>
      <c r="AK163" s="652"/>
      <c r="AL163" s="652"/>
      <c r="AM163" s="652"/>
    </row>
    <row r="164" spans="1:39" hidden="1" x14ac:dyDescent="0.2">
      <c r="A164" s="652"/>
      <c r="B164" s="652"/>
      <c r="C164" s="652"/>
      <c r="D164" s="652"/>
      <c r="E164" s="652"/>
      <c r="F164" s="652"/>
      <c r="G164" s="652"/>
      <c r="H164" s="652"/>
      <c r="I164" s="652"/>
      <c r="J164" s="652"/>
      <c r="K164" s="652"/>
      <c r="L164" s="657"/>
      <c r="M164" s="657"/>
      <c r="N164" s="657"/>
      <c r="O164" s="652"/>
      <c r="P164" s="652"/>
      <c r="Q164" s="652"/>
      <c r="R164" s="652"/>
      <c r="S164" s="652"/>
      <c r="T164" s="657"/>
      <c r="U164" s="657"/>
      <c r="V164" s="657"/>
      <c r="W164" s="652"/>
      <c r="X164" s="652"/>
      <c r="Y164" s="652"/>
      <c r="Z164" s="652"/>
      <c r="AA164" s="652"/>
      <c r="AB164" s="652"/>
      <c r="AC164" s="652"/>
      <c r="AD164" s="652"/>
      <c r="AE164" s="652"/>
      <c r="AF164" s="652"/>
      <c r="AG164" s="652"/>
      <c r="AH164" s="652"/>
      <c r="AI164" s="652"/>
      <c r="AJ164" s="652"/>
      <c r="AK164" s="652"/>
      <c r="AL164" s="652"/>
      <c r="AM164" s="652"/>
    </row>
    <row r="165" spans="1:39" hidden="1" x14ac:dyDescent="0.2">
      <c r="A165" s="652"/>
      <c r="B165" s="652"/>
      <c r="C165" s="652"/>
      <c r="D165" s="652"/>
      <c r="E165" s="652"/>
      <c r="F165" s="652"/>
      <c r="G165" s="652"/>
      <c r="H165" s="652"/>
      <c r="I165" s="652"/>
      <c r="J165" s="652"/>
      <c r="K165" s="652"/>
      <c r="L165" s="657"/>
      <c r="M165" s="657"/>
      <c r="N165" s="657"/>
      <c r="O165" s="652"/>
      <c r="P165" s="652"/>
      <c r="Q165" s="652"/>
      <c r="R165" s="652"/>
      <c r="S165" s="652"/>
      <c r="T165" s="657"/>
      <c r="U165" s="657"/>
      <c r="V165" s="657"/>
      <c r="W165" s="652"/>
      <c r="X165" s="652"/>
      <c r="Y165" s="652"/>
      <c r="Z165" s="652"/>
      <c r="AA165" s="652"/>
      <c r="AB165" s="652"/>
      <c r="AC165" s="652"/>
      <c r="AD165" s="652"/>
      <c r="AE165" s="652"/>
      <c r="AF165" s="652"/>
      <c r="AG165" s="652"/>
      <c r="AH165" s="652"/>
      <c r="AI165" s="652"/>
      <c r="AJ165" s="652"/>
      <c r="AK165" s="652"/>
      <c r="AL165" s="652"/>
      <c r="AM165" s="652"/>
    </row>
    <row r="166" spans="1:39" hidden="1" x14ac:dyDescent="0.2">
      <c r="A166" s="652"/>
      <c r="B166" s="652"/>
      <c r="C166" s="652"/>
      <c r="D166" s="652"/>
      <c r="E166" s="652"/>
      <c r="F166" s="652"/>
      <c r="G166" s="652"/>
      <c r="H166" s="652"/>
      <c r="I166" s="652"/>
      <c r="J166" s="652"/>
      <c r="K166" s="652"/>
      <c r="L166" s="657"/>
      <c r="M166" s="657"/>
      <c r="N166" s="657"/>
      <c r="O166" s="652"/>
      <c r="P166" s="652"/>
      <c r="Q166" s="652"/>
      <c r="R166" s="652"/>
      <c r="S166" s="652"/>
      <c r="T166" s="657"/>
      <c r="U166" s="657"/>
      <c r="V166" s="657"/>
      <c r="W166" s="652"/>
      <c r="X166" s="652"/>
      <c r="Y166" s="652"/>
      <c r="Z166" s="652"/>
      <c r="AA166" s="652"/>
      <c r="AB166" s="652"/>
      <c r="AC166" s="652"/>
      <c r="AD166" s="652"/>
      <c r="AE166" s="652"/>
      <c r="AF166" s="652"/>
      <c r="AG166" s="652"/>
      <c r="AH166" s="652"/>
      <c r="AI166" s="652"/>
      <c r="AJ166" s="652"/>
      <c r="AK166" s="652"/>
      <c r="AL166" s="652"/>
      <c r="AM166" s="652"/>
    </row>
    <row r="167" spans="1:39" hidden="1" x14ac:dyDescent="0.2">
      <c r="A167" s="652"/>
      <c r="B167" s="652"/>
      <c r="C167" s="652"/>
      <c r="D167" s="652"/>
      <c r="E167" s="652"/>
      <c r="F167" s="652"/>
      <c r="G167" s="652"/>
      <c r="H167" s="652"/>
      <c r="I167" s="652"/>
      <c r="J167" s="652"/>
      <c r="K167" s="652"/>
      <c r="L167" s="657"/>
      <c r="M167" s="657"/>
      <c r="N167" s="657"/>
      <c r="O167" s="652"/>
      <c r="P167" s="652"/>
      <c r="Q167" s="652"/>
      <c r="R167" s="652"/>
      <c r="S167" s="652"/>
      <c r="T167" s="657"/>
      <c r="U167" s="657"/>
      <c r="V167" s="657"/>
      <c r="W167" s="652"/>
      <c r="X167" s="652"/>
      <c r="Y167" s="652"/>
      <c r="Z167" s="652"/>
      <c r="AA167" s="652"/>
      <c r="AB167" s="652"/>
      <c r="AC167" s="652"/>
      <c r="AD167" s="652"/>
      <c r="AE167" s="652"/>
      <c r="AF167" s="652"/>
      <c r="AG167" s="652"/>
      <c r="AH167" s="652"/>
      <c r="AI167" s="652"/>
      <c r="AJ167" s="652"/>
      <c r="AK167" s="652"/>
      <c r="AL167" s="652"/>
      <c r="AM167" s="652"/>
    </row>
    <row r="168" spans="1:39" hidden="1" x14ac:dyDescent="0.2">
      <c r="A168" s="652"/>
      <c r="B168" s="652"/>
      <c r="C168" s="652"/>
      <c r="D168" s="652"/>
      <c r="E168" s="652"/>
      <c r="F168" s="652"/>
      <c r="G168" s="652"/>
      <c r="H168" s="652"/>
      <c r="I168" s="652"/>
      <c r="J168" s="652"/>
      <c r="K168" s="652"/>
      <c r="L168" s="657"/>
      <c r="M168" s="657"/>
      <c r="N168" s="657"/>
      <c r="O168" s="652"/>
      <c r="P168" s="652"/>
      <c r="Q168" s="652"/>
      <c r="R168" s="652"/>
      <c r="S168" s="652"/>
      <c r="T168" s="657"/>
      <c r="U168" s="657"/>
      <c r="V168" s="657"/>
      <c r="W168" s="652"/>
      <c r="X168" s="652"/>
      <c r="Y168" s="652"/>
      <c r="Z168" s="652"/>
      <c r="AA168" s="652"/>
      <c r="AB168" s="652"/>
      <c r="AC168" s="652"/>
      <c r="AD168" s="652"/>
      <c r="AE168" s="652"/>
      <c r="AF168" s="652"/>
      <c r="AG168" s="652"/>
      <c r="AH168" s="652"/>
      <c r="AI168" s="652"/>
      <c r="AJ168" s="652"/>
      <c r="AK168" s="652"/>
      <c r="AL168" s="652"/>
      <c r="AM168" s="652"/>
    </row>
    <row r="169" spans="1:39" hidden="1" x14ac:dyDescent="0.2">
      <c r="A169" s="652"/>
      <c r="B169" s="652"/>
      <c r="C169" s="652"/>
      <c r="D169" s="652"/>
      <c r="E169" s="652"/>
      <c r="F169" s="652"/>
      <c r="G169" s="652"/>
      <c r="H169" s="652"/>
      <c r="I169" s="652"/>
      <c r="J169" s="652"/>
      <c r="K169" s="652"/>
      <c r="L169" s="657"/>
      <c r="M169" s="657"/>
      <c r="N169" s="657"/>
      <c r="O169" s="652"/>
      <c r="P169" s="652"/>
      <c r="Q169" s="652"/>
      <c r="R169" s="652"/>
      <c r="S169" s="652"/>
      <c r="T169" s="657"/>
      <c r="U169" s="657"/>
      <c r="V169" s="657"/>
      <c r="W169" s="652"/>
      <c r="X169" s="652"/>
      <c r="Y169" s="652"/>
      <c r="Z169" s="652"/>
      <c r="AA169" s="652"/>
      <c r="AB169" s="652"/>
      <c r="AC169" s="652"/>
      <c r="AD169" s="652"/>
      <c r="AE169" s="652"/>
      <c r="AF169" s="652"/>
      <c r="AG169" s="652"/>
      <c r="AH169" s="652"/>
      <c r="AI169" s="652"/>
      <c r="AJ169" s="652"/>
      <c r="AK169" s="652"/>
      <c r="AL169" s="652"/>
      <c r="AM169" s="652"/>
    </row>
    <row r="170" spans="1:39" hidden="1" x14ac:dyDescent="0.2">
      <c r="A170" s="652"/>
      <c r="B170" s="652"/>
      <c r="C170" s="652"/>
      <c r="D170" s="652"/>
      <c r="E170" s="652"/>
      <c r="F170" s="652"/>
      <c r="G170" s="652"/>
      <c r="H170" s="652"/>
      <c r="I170" s="652"/>
      <c r="J170" s="652"/>
      <c r="K170" s="652"/>
      <c r="L170" s="657"/>
      <c r="M170" s="657"/>
      <c r="N170" s="657"/>
      <c r="O170" s="652"/>
      <c r="P170" s="652"/>
      <c r="Q170" s="652"/>
      <c r="R170" s="652"/>
      <c r="S170" s="652"/>
      <c r="T170" s="657"/>
      <c r="U170" s="657"/>
      <c r="V170" s="657"/>
      <c r="W170" s="652"/>
      <c r="X170" s="652"/>
      <c r="Y170" s="652"/>
      <c r="Z170" s="652"/>
      <c r="AA170" s="652"/>
      <c r="AB170" s="652"/>
      <c r="AC170" s="652"/>
      <c r="AD170" s="652"/>
      <c r="AE170" s="652"/>
      <c r="AF170" s="652"/>
      <c r="AG170" s="652"/>
      <c r="AH170" s="652"/>
      <c r="AI170" s="652"/>
      <c r="AJ170" s="652"/>
      <c r="AK170" s="652"/>
      <c r="AL170" s="652"/>
      <c r="AM170" s="652"/>
    </row>
    <row r="171" spans="1:39" hidden="1" x14ac:dyDescent="0.2">
      <c r="A171" s="652"/>
      <c r="B171" s="652"/>
      <c r="C171" s="652"/>
      <c r="D171" s="652"/>
      <c r="E171" s="652"/>
      <c r="F171" s="652"/>
      <c r="G171" s="652"/>
      <c r="H171" s="652"/>
      <c r="I171" s="652"/>
      <c r="J171" s="652"/>
      <c r="K171" s="652"/>
      <c r="L171" s="657"/>
      <c r="M171" s="657"/>
      <c r="N171" s="657"/>
      <c r="O171" s="652"/>
      <c r="P171" s="652"/>
      <c r="Q171" s="652"/>
      <c r="R171" s="652"/>
      <c r="S171" s="652"/>
      <c r="T171" s="657"/>
      <c r="U171" s="657"/>
      <c r="V171" s="657"/>
      <c r="W171" s="652"/>
      <c r="X171" s="652"/>
      <c r="Y171" s="652"/>
      <c r="Z171" s="652"/>
      <c r="AA171" s="652"/>
      <c r="AB171" s="652"/>
      <c r="AC171" s="652"/>
      <c r="AD171" s="652"/>
      <c r="AE171" s="652"/>
      <c r="AF171" s="652"/>
      <c r="AG171" s="652"/>
      <c r="AH171" s="652"/>
      <c r="AI171" s="652"/>
      <c r="AJ171" s="652"/>
      <c r="AK171" s="652"/>
      <c r="AL171" s="652"/>
      <c r="AM171" s="652"/>
    </row>
    <row r="172" spans="1:39" hidden="1" x14ac:dyDescent="0.2">
      <c r="A172" s="652"/>
      <c r="B172" s="652"/>
      <c r="C172" s="652"/>
      <c r="D172" s="652"/>
      <c r="E172" s="652"/>
      <c r="F172" s="652"/>
      <c r="G172" s="652"/>
      <c r="H172" s="652"/>
      <c r="I172" s="652"/>
      <c r="J172" s="652"/>
      <c r="K172" s="652"/>
      <c r="L172" s="657"/>
      <c r="M172" s="657"/>
      <c r="N172" s="657"/>
      <c r="O172" s="652"/>
      <c r="P172" s="652"/>
      <c r="Q172" s="652"/>
      <c r="R172" s="652"/>
      <c r="S172" s="652"/>
      <c r="T172" s="657"/>
      <c r="U172" s="657"/>
      <c r="V172" s="657"/>
      <c r="W172" s="652"/>
      <c r="X172" s="652"/>
      <c r="Y172" s="652"/>
      <c r="Z172" s="652"/>
      <c r="AA172" s="652"/>
      <c r="AB172" s="652"/>
      <c r="AC172" s="652"/>
      <c r="AD172" s="652"/>
      <c r="AE172" s="652"/>
      <c r="AF172" s="652"/>
      <c r="AG172" s="652"/>
      <c r="AH172" s="652"/>
      <c r="AI172" s="652"/>
      <c r="AJ172" s="652"/>
      <c r="AK172" s="652"/>
      <c r="AL172" s="652"/>
      <c r="AM172" s="652"/>
    </row>
    <row r="173" spans="1:39" hidden="1" x14ac:dyDescent="0.2">
      <c r="A173" s="652"/>
      <c r="B173" s="652"/>
      <c r="C173" s="652"/>
      <c r="D173" s="652"/>
      <c r="E173" s="652"/>
      <c r="F173" s="652"/>
      <c r="G173" s="652"/>
      <c r="H173" s="652"/>
      <c r="I173" s="652"/>
      <c r="J173" s="652"/>
      <c r="K173" s="652"/>
      <c r="L173" s="657"/>
      <c r="M173" s="657"/>
      <c r="N173" s="657"/>
      <c r="O173" s="652"/>
      <c r="P173" s="652"/>
      <c r="Q173" s="652"/>
      <c r="R173" s="652"/>
      <c r="S173" s="652"/>
      <c r="T173" s="657"/>
      <c r="U173" s="657"/>
      <c r="V173" s="657"/>
      <c r="W173" s="652"/>
      <c r="X173" s="652"/>
      <c r="Y173" s="652"/>
      <c r="Z173" s="652"/>
      <c r="AA173" s="652"/>
      <c r="AB173" s="652"/>
      <c r="AC173" s="652"/>
      <c r="AD173" s="652"/>
      <c r="AE173" s="652"/>
      <c r="AF173" s="652"/>
      <c r="AG173" s="652"/>
      <c r="AH173" s="652"/>
      <c r="AI173" s="652"/>
      <c r="AJ173" s="652"/>
      <c r="AK173" s="652"/>
      <c r="AL173" s="652"/>
      <c r="AM173" s="652"/>
    </row>
    <row r="174" spans="1:39"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652"/>
      <c r="AF174" s="652"/>
      <c r="AG174" s="652"/>
      <c r="AH174" s="652"/>
      <c r="AI174" s="652"/>
      <c r="AJ174" s="652"/>
      <c r="AK174" s="652"/>
      <c r="AL174" s="652"/>
      <c r="AM174" s="652"/>
    </row>
    <row r="175" spans="1:39"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652"/>
      <c r="AF175" s="652"/>
      <c r="AG175" s="652"/>
      <c r="AH175" s="652"/>
      <c r="AI175" s="652"/>
      <c r="AJ175" s="652"/>
      <c r="AK175" s="652"/>
      <c r="AL175" s="652"/>
      <c r="AM175" s="652"/>
    </row>
    <row r="176" spans="1:39"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hidden="1" x14ac:dyDescent="0.2">
      <c r="D284" s="698"/>
      <c r="E284" s="698"/>
      <c r="F284" s="652"/>
      <c r="G284" s="652"/>
      <c r="H284" s="652"/>
      <c r="I284" s="652"/>
      <c r="J284" s="652"/>
      <c r="K284" s="652"/>
      <c r="L284" s="652"/>
      <c r="M284" s="652"/>
      <c r="N284" s="652"/>
      <c r="O284" s="652"/>
      <c r="P284" s="652"/>
      <c r="Q284" s="652"/>
      <c r="R284" s="652"/>
      <c r="S284" s="652"/>
      <c r="T284" s="652"/>
      <c r="U284" s="652"/>
      <c r="V284" s="652"/>
      <c r="W284" s="652"/>
      <c r="X284" s="652"/>
      <c r="Y284" s="652"/>
      <c r="Z284" s="652"/>
      <c r="AA284" s="652"/>
      <c r="AB284" s="652"/>
      <c r="AC284" s="652"/>
      <c r="AD284" s="652"/>
      <c r="AE284" s="652"/>
      <c r="AF284" s="652"/>
      <c r="AG284" s="652"/>
      <c r="AH284" s="652"/>
      <c r="AI284" s="652"/>
      <c r="AJ284" s="652"/>
      <c r="AK284" s="652"/>
      <c r="AL284" s="652"/>
      <c r="AM284" s="652"/>
    </row>
    <row r="285" spans="1:39" hidden="1" x14ac:dyDescent="0.2">
      <c r="D285" s="702"/>
      <c r="E285" s="702"/>
      <c r="F285" s="652"/>
      <c r="G285" s="652"/>
      <c r="H285" s="652"/>
      <c r="I285" s="652"/>
      <c r="J285" s="652"/>
      <c r="K285" s="652"/>
      <c r="L285" s="652"/>
      <c r="M285" s="652"/>
      <c r="N285" s="652"/>
      <c r="O285" s="652"/>
      <c r="P285" s="652"/>
      <c r="Q285" s="652"/>
      <c r="R285" s="652"/>
      <c r="S285" s="652"/>
      <c r="T285" s="652"/>
      <c r="U285" s="652"/>
      <c r="V285" s="652"/>
      <c r="W285" s="652"/>
      <c r="X285" s="652"/>
      <c r="Y285" s="652"/>
      <c r="Z285" s="652"/>
      <c r="AA285" s="652"/>
      <c r="AB285" s="652"/>
      <c r="AC285" s="652"/>
      <c r="AD285" s="652"/>
      <c r="AE285" s="652"/>
      <c r="AF285" s="652"/>
      <c r="AG285" s="652"/>
      <c r="AH285" s="652"/>
      <c r="AI285" s="652"/>
      <c r="AJ285" s="652"/>
      <c r="AK285" s="652"/>
      <c r="AL285" s="652"/>
      <c r="AM285" s="652"/>
    </row>
    <row r="286" spans="1:39" hidden="1" x14ac:dyDescent="0.2">
      <c r="D286" s="653"/>
      <c r="E286" s="653"/>
      <c r="F286" s="652"/>
      <c r="G286" s="652"/>
      <c r="H286" s="652"/>
      <c r="I286" s="652"/>
      <c r="J286" s="652"/>
      <c r="K286" s="652"/>
      <c r="L286" s="652"/>
      <c r="M286" s="652"/>
      <c r="N286" s="652"/>
      <c r="O286" s="652"/>
      <c r="P286" s="652"/>
      <c r="Q286" s="652"/>
      <c r="R286" s="652"/>
      <c r="S286" s="652"/>
      <c r="T286" s="652"/>
      <c r="U286" s="652"/>
      <c r="V286" s="652"/>
      <c r="W286" s="703"/>
      <c r="X286" s="652"/>
      <c r="Y286" s="652"/>
      <c r="Z286" s="652"/>
      <c r="AA286" s="652"/>
      <c r="AB286" s="652"/>
      <c r="AC286" s="652"/>
      <c r="AD286" s="652"/>
      <c r="AE286" s="652"/>
      <c r="AF286" s="652"/>
      <c r="AG286" s="652"/>
      <c r="AH286" s="652"/>
      <c r="AI286" s="652"/>
      <c r="AJ286" s="652"/>
      <c r="AK286" s="652"/>
      <c r="AL286" s="652"/>
      <c r="AM286" s="652"/>
    </row>
    <row r="287" spans="1:39" hidden="1" x14ac:dyDescent="0.2">
      <c r="D287" s="653"/>
      <c r="E287" s="653"/>
      <c r="F287" s="652"/>
      <c r="G287" s="652"/>
      <c r="H287" s="652"/>
      <c r="I287" s="652"/>
      <c r="J287" s="652"/>
      <c r="K287" s="652"/>
      <c r="L287" s="652"/>
      <c r="M287" s="652"/>
      <c r="N287" s="652"/>
      <c r="O287" s="652"/>
      <c r="P287" s="652"/>
      <c r="Q287" s="652"/>
      <c r="R287" s="652"/>
      <c r="S287" s="652"/>
      <c r="T287" s="652"/>
      <c r="U287" s="652"/>
      <c r="V287" s="652"/>
      <c r="W287" s="652"/>
      <c r="X287" s="652"/>
      <c r="Y287" s="652"/>
      <c r="Z287" s="652"/>
      <c r="AA287" s="652"/>
      <c r="AB287" s="652"/>
      <c r="AC287" s="652"/>
      <c r="AD287" s="652"/>
      <c r="AE287" s="652"/>
      <c r="AF287" s="652"/>
      <c r="AG287" s="652"/>
      <c r="AH287" s="652"/>
      <c r="AI287" s="652"/>
      <c r="AJ287" s="652"/>
      <c r="AK287" s="652"/>
      <c r="AL287" s="652"/>
      <c r="AM287" s="652"/>
    </row>
    <row r="288" spans="1:39" hidden="1" x14ac:dyDescent="0.2">
      <c r="D288" s="653"/>
      <c r="E288" s="653"/>
      <c r="F288" s="652"/>
      <c r="G288" s="652"/>
      <c r="H288" s="652"/>
      <c r="I288" s="652"/>
      <c r="J288" s="652"/>
      <c r="K288" s="652"/>
      <c r="L288" s="652"/>
      <c r="M288" s="652"/>
      <c r="N288" s="652"/>
      <c r="O288" s="652"/>
      <c r="P288" s="652"/>
      <c r="Q288" s="652"/>
      <c r="R288" s="652"/>
      <c r="S288" s="652"/>
      <c r="T288" s="652"/>
      <c r="U288" s="652"/>
      <c r="V288" s="652"/>
      <c r="W288" s="652"/>
      <c r="X288" s="652"/>
      <c r="Y288" s="652"/>
      <c r="Z288" s="652"/>
      <c r="AA288" s="652"/>
      <c r="AB288" s="652"/>
      <c r="AC288" s="652"/>
      <c r="AD288" s="652"/>
      <c r="AE288" s="652"/>
      <c r="AF288" s="652"/>
      <c r="AG288" s="652"/>
      <c r="AH288" s="652"/>
      <c r="AI288" s="652"/>
      <c r="AJ288" s="652"/>
      <c r="AK288" s="652"/>
      <c r="AL288" s="652"/>
      <c r="AM288" s="652"/>
    </row>
    <row r="289" spans="1:39" hidden="1" x14ac:dyDescent="0.2">
      <c r="D289" s="653"/>
      <c r="E289" s="653"/>
      <c r="F289" s="652"/>
      <c r="G289" s="652"/>
      <c r="H289" s="652"/>
      <c r="I289" s="652"/>
      <c r="J289" s="652"/>
      <c r="K289" s="652"/>
      <c r="L289" s="652"/>
      <c r="M289" s="652"/>
      <c r="N289" s="652"/>
      <c r="O289" s="652"/>
      <c r="P289" s="652"/>
      <c r="Q289" s="652"/>
      <c r="R289" s="652"/>
      <c r="S289" s="652"/>
      <c r="T289" s="652"/>
      <c r="U289" s="652"/>
      <c r="V289" s="652"/>
      <c r="W289" s="652"/>
      <c r="X289" s="652"/>
      <c r="Y289" s="652"/>
      <c r="Z289" s="652"/>
      <c r="AA289" s="652"/>
      <c r="AB289" s="652"/>
      <c r="AC289" s="652"/>
      <c r="AD289" s="652"/>
      <c r="AE289" s="652"/>
      <c r="AF289" s="652"/>
      <c r="AG289" s="652"/>
      <c r="AH289" s="652"/>
      <c r="AI289" s="652"/>
      <c r="AJ289" s="652"/>
      <c r="AK289" s="652"/>
      <c r="AL289" s="652"/>
      <c r="AM289" s="652"/>
    </row>
    <row r="290" spans="1:39" hidden="1" x14ac:dyDescent="0.2">
      <c r="D290" s="653"/>
      <c r="E290" s="653"/>
      <c r="F290" s="65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c r="AI290" s="652"/>
      <c r="AJ290" s="652"/>
      <c r="AK290" s="652"/>
      <c r="AL290" s="652"/>
      <c r="AM290" s="652"/>
    </row>
    <row r="291" spans="1:39" hidden="1" x14ac:dyDescent="0.2">
      <c r="D291" s="653"/>
      <c r="E291" s="653"/>
      <c r="F291" s="652"/>
      <c r="G291" s="652"/>
      <c r="H291" s="652"/>
      <c r="I291" s="652"/>
      <c r="J291" s="652"/>
      <c r="K291" s="652"/>
      <c r="L291" s="652"/>
      <c r="M291" s="652"/>
      <c r="N291" s="652"/>
      <c r="O291" s="652"/>
      <c r="P291" s="652"/>
      <c r="Q291" s="652"/>
      <c r="R291" s="652"/>
      <c r="S291" s="652"/>
      <c r="T291" s="652"/>
      <c r="U291" s="652"/>
      <c r="V291" s="652"/>
      <c r="W291" s="703"/>
      <c r="X291" s="652"/>
      <c r="Y291" s="652"/>
      <c r="Z291" s="652"/>
      <c r="AA291" s="652"/>
      <c r="AB291" s="652"/>
      <c r="AC291" s="652"/>
      <c r="AD291" s="652"/>
      <c r="AE291" s="652"/>
      <c r="AF291" s="652"/>
      <c r="AG291" s="652"/>
      <c r="AH291" s="652"/>
      <c r="AI291" s="652"/>
      <c r="AJ291" s="652"/>
      <c r="AK291" s="652"/>
      <c r="AL291" s="652"/>
      <c r="AM291" s="652"/>
    </row>
    <row r="292" spans="1:39" hidden="1" x14ac:dyDescent="0.2">
      <c r="D292" s="653"/>
      <c r="E292" s="653"/>
      <c r="F292" s="65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652"/>
      <c r="AF292" s="652"/>
      <c r="AG292" s="652"/>
      <c r="AH292" s="652"/>
      <c r="AI292" s="652"/>
      <c r="AJ292" s="652"/>
      <c r="AK292" s="652"/>
      <c r="AL292" s="652"/>
      <c r="AM292" s="652"/>
    </row>
    <row r="293" spans="1:39" hidden="1" x14ac:dyDescent="0.2">
      <c r="D293" s="653"/>
      <c r="E293" s="653"/>
      <c r="F293" s="65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652"/>
      <c r="AI293" s="652"/>
      <c r="AJ293" s="652"/>
      <c r="AK293" s="652"/>
      <c r="AL293" s="652"/>
      <c r="AM293" s="652"/>
    </row>
    <row r="294" spans="1:39" hidden="1" x14ac:dyDescent="0.2"/>
    <row r="295" spans="1:39" hidden="1" x14ac:dyDescent="0.2"/>
    <row r="296" spans="1:39" hidden="1" x14ac:dyDescent="0.2"/>
    <row r="297" spans="1:39" hidden="1" x14ac:dyDescent="0.2"/>
    <row r="299" spans="1:39" x14ac:dyDescent="0.2">
      <c r="A299" s="652"/>
      <c r="B299" s="652"/>
      <c r="C299" s="697" t="s">
        <v>182</v>
      </c>
    </row>
    <row r="300" spans="1:39" x14ac:dyDescent="0.2">
      <c r="A300" s="699">
        <v>1</v>
      </c>
      <c r="B300" s="700" t="str">
        <f t="shared" ref="B300:B308" si="10">IFERROR(INDEX(B$1:B$85,MATCH(A300,A$1:A$85,0)),"")</f>
        <v>Andrei Grintšak, Oleg Rõndenkov</v>
      </c>
      <c r="C300" s="701">
        <f>IF(21-A300&gt;0,IF(OR(A300=A301,A299=A300),21-A300-0.5,21-A300),1)</f>
        <v>20</v>
      </c>
    </row>
    <row r="301" spans="1:39" x14ac:dyDescent="0.2">
      <c r="A301" s="699">
        <v>2</v>
      </c>
      <c r="B301" s="700" t="str">
        <f t="shared" si="10"/>
        <v>Elmo Lageda, Tõnu Piik</v>
      </c>
      <c r="C301" s="701">
        <f t="shared" ref="C301:C308" si="11">IF(21-A301&gt;0,IF(OR(A301=A302,A300=A301),21-A301-0.5,21-A301),1)</f>
        <v>19</v>
      </c>
    </row>
    <row r="302" spans="1:39" x14ac:dyDescent="0.2">
      <c r="A302" s="699">
        <v>3</v>
      </c>
      <c r="B302" s="700" t="str">
        <f t="shared" si="10"/>
        <v>Jaan Saar, Klavdia Piik</v>
      </c>
      <c r="C302" s="701">
        <f t="shared" si="11"/>
        <v>18</v>
      </c>
    </row>
    <row r="303" spans="1:39" x14ac:dyDescent="0.2">
      <c r="A303" s="699">
        <v>4</v>
      </c>
      <c r="B303" s="700" t="str">
        <f t="shared" si="10"/>
        <v>Mait Metsla, Matti Vinni</v>
      </c>
      <c r="C303" s="701">
        <f t="shared" si="11"/>
        <v>17</v>
      </c>
    </row>
    <row r="304" spans="1:39" x14ac:dyDescent="0.2">
      <c r="A304" s="699">
        <v>5</v>
      </c>
      <c r="B304" s="700" t="str">
        <f t="shared" si="10"/>
        <v>Andres Veski, Henri Mitt</v>
      </c>
      <c r="C304" s="701">
        <f t="shared" si="11"/>
        <v>16</v>
      </c>
    </row>
    <row r="305" spans="1:3" x14ac:dyDescent="0.2">
      <c r="A305" s="699">
        <v>6</v>
      </c>
      <c r="B305" s="700" t="str">
        <f t="shared" si="10"/>
        <v>Enn Tokman, Tarmo Bombe</v>
      </c>
      <c r="C305" s="701">
        <f t="shared" si="11"/>
        <v>15</v>
      </c>
    </row>
    <row r="306" spans="1:3" x14ac:dyDescent="0.2">
      <c r="A306" s="699">
        <v>7</v>
      </c>
      <c r="B306" s="700" t="str">
        <f t="shared" si="10"/>
        <v>Margus Vasser, Vello Vasser</v>
      </c>
      <c r="C306" s="701">
        <f t="shared" si="11"/>
        <v>14</v>
      </c>
    </row>
    <row r="307" spans="1:3" x14ac:dyDescent="0.2">
      <c r="A307" s="699">
        <v>8</v>
      </c>
      <c r="B307" s="700" t="str">
        <f t="shared" si="10"/>
        <v>Meelis Luud, Sander Rose</v>
      </c>
      <c r="C307" s="701">
        <f t="shared" si="11"/>
        <v>13</v>
      </c>
    </row>
    <row r="308" spans="1:3" x14ac:dyDescent="0.2">
      <c r="A308" s="699">
        <v>9</v>
      </c>
      <c r="B308" s="700" t="str">
        <f t="shared" si="10"/>
        <v>Tõnu Kapper, Vladimir Ogneštšikov</v>
      </c>
      <c r="C308" s="701">
        <f t="shared" si="11"/>
        <v>12</v>
      </c>
    </row>
  </sheetData>
  <conditionalFormatting sqref="C8:C16">
    <cfRule type="expression" dxfId="565" priority="18">
      <formula>IF($C8&gt;$E8,TRUE)</formula>
    </cfRule>
  </conditionalFormatting>
  <conditionalFormatting sqref="E8:E16">
    <cfRule type="expression" dxfId="564" priority="19">
      <formula>IF($C8&lt;$E8,TRUE)</formula>
    </cfRule>
  </conditionalFormatting>
  <conditionalFormatting sqref="K8:K16">
    <cfRule type="expression" dxfId="563" priority="26">
      <formula>IF($K8&gt;$M8,TRUE)</formula>
    </cfRule>
  </conditionalFormatting>
  <conditionalFormatting sqref="M8:M16">
    <cfRule type="expression" dxfId="562" priority="27">
      <formula>IF($K8&lt;$M8,TRUE)</formula>
    </cfRule>
  </conditionalFormatting>
  <conditionalFormatting sqref="O8:O16">
    <cfRule type="expression" dxfId="561" priority="30">
      <formula>IF($O8&gt;$Q8,TRUE)</formula>
    </cfRule>
  </conditionalFormatting>
  <conditionalFormatting sqref="Q8:Q16">
    <cfRule type="expression" dxfId="560" priority="31">
      <formula>IF($O8&lt;$Q8,TRUE)</formula>
    </cfRule>
  </conditionalFormatting>
  <conditionalFormatting sqref="S8:S16">
    <cfRule type="expression" dxfId="559" priority="34">
      <formula>IF($S8&gt;$U8,TRUE)</formula>
    </cfRule>
  </conditionalFormatting>
  <conditionalFormatting sqref="U8:U16">
    <cfRule type="expression" dxfId="558" priority="35">
      <formula>IF($S8&lt;$U8,TRUE)</formula>
    </cfRule>
  </conditionalFormatting>
  <conditionalFormatting sqref="G8:G16">
    <cfRule type="expression" dxfId="557" priority="22">
      <formula>IF($G8&gt;$I8,TRUE)</formula>
    </cfRule>
  </conditionalFormatting>
  <conditionalFormatting sqref="I8:I16">
    <cfRule type="expression" dxfId="556" priority="23">
      <formula>IF($G8&lt;$I8,TRUE)</formula>
    </cfRule>
  </conditionalFormatting>
  <conditionalFormatting sqref="F8:F16">
    <cfRule type="containsText" dxfId="555" priority="9" operator="containsText" text="vaba voor">
      <formula>NOT(ISERROR(SEARCH("vaba voor",F8)))</formula>
    </cfRule>
  </conditionalFormatting>
  <conditionalFormatting sqref="N8:N16">
    <cfRule type="containsText" dxfId="554" priority="7" operator="containsText" text="vaba voor">
      <formula>NOT(ISERROR(SEARCH("vaba voor",N8)))</formula>
    </cfRule>
  </conditionalFormatting>
  <conditionalFormatting sqref="R8:R16">
    <cfRule type="containsText" dxfId="553" priority="10" operator="containsText" text="vaba voor">
      <formula>NOT(ISERROR(SEARCH("vaba voor",R8)))</formula>
    </cfRule>
  </conditionalFormatting>
  <conditionalFormatting sqref="V8:V16">
    <cfRule type="containsText" dxfId="552" priority="6" operator="containsText" text="vaba voor">
      <formula>NOT(ISERROR(SEARCH("vaba voor",V8)))</formula>
    </cfRule>
  </conditionalFormatting>
  <conditionalFormatting sqref="J8:J16">
    <cfRule type="containsText" dxfId="551" priority="8" operator="containsText" text="vaba voor">
      <formula>NOT(ISERROR(SEARCH("vaba voor",J8)))</formula>
    </cfRule>
  </conditionalFormatting>
  <conditionalFormatting sqref="C8:F16">
    <cfRule type="expression" dxfId="550" priority="14">
      <formula>IF(AND(ISNUMBER($C8),$C8=$E8),TRUE)</formula>
    </cfRule>
    <cfRule type="expression" dxfId="549" priority="16">
      <formula>IF($C8&gt;$E8,TRUE)</formula>
    </cfRule>
    <cfRule type="expression" dxfId="548" priority="17">
      <formula>IF($C8&lt;$E8,TRUE)</formula>
    </cfRule>
  </conditionalFormatting>
  <conditionalFormatting sqref="G8:J16">
    <cfRule type="expression" dxfId="547" priority="15">
      <formula>IF(AND(ISNUMBER($G8),$G8=$I8),TRUE)</formula>
    </cfRule>
    <cfRule type="expression" dxfId="546" priority="20">
      <formula>IF($G8&gt;$I8,TRUE)</formula>
    </cfRule>
    <cfRule type="expression" dxfId="545" priority="21">
      <formula>IF($G8&lt;$I8,TRUE)</formula>
    </cfRule>
  </conditionalFormatting>
  <conditionalFormatting sqref="K8:N16">
    <cfRule type="expression" dxfId="544" priority="13">
      <formula>IF(AND(ISNUMBER($K8),$K8=$M8),TRUE)</formula>
    </cfRule>
    <cfRule type="expression" dxfId="543" priority="24">
      <formula>IF($K8&gt;$M8,TRUE)</formula>
    </cfRule>
    <cfRule type="expression" dxfId="542" priority="25">
      <formula>IF($K8&lt;$M8,TRUE)</formula>
    </cfRule>
  </conditionalFormatting>
  <conditionalFormatting sqref="O8:R16">
    <cfRule type="expression" dxfId="541" priority="12">
      <formula>IF(AND(ISNUMBER($O8),$O8=$Q8),TRUE)</formula>
    </cfRule>
    <cfRule type="expression" dxfId="540" priority="28">
      <formula>IF($O8&gt;$Q8,TRUE)</formula>
    </cfRule>
    <cfRule type="expression" dxfId="539" priority="29">
      <formula>IF($O8&lt;$Q8,TRUE)</formula>
    </cfRule>
  </conditionalFormatting>
  <conditionalFormatting sqref="S8:V16">
    <cfRule type="expression" dxfId="538" priority="11">
      <formula>IF(AND(ISNUMBER($S8),$S8=$U8),TRUE)</formula>
    </cfRule>
    <cfRule type="expression" dxfId="537" priority="32">
      <formula>IF($S8&gt;$U8,TRUE)</formula>
    </cfRule>
    <cfRule type="expression" dxfId="536" priority="33">
      <formula>IF($S8&lt;$U8,TRUE)</formula>
    </cfRule>
  </conditionalFormatting>
  <conditionalFormatting sqref="C8:C16 G8:G16 K8:K16 O8:O16 S8:S16">
    <cfRule type="expression" dxfId="535" priority="4">
      <formula>AND(C8=0,E8=13)</formula>
    </cfRule>
  </conditionalFormatting>
  <conditionalFormatting sqref="E8:E16 I8:I16 M8:M16 Q8:Q16 U8:U16">
    <cfRule type="expression" dxfId="534" priority="5">
      <formula>AND(E8=0,C8=13)</formula>
    </cfRule>
  </conditionalFormatting>
  <conditionalFormatting sqref="AF8:AF16 AJ8:AJ16 AL8:AL16">
    <cfRule type="expression" dxfId="533" priority="1">
      <formula>AND(AE8="",COUNTIF(AF8,"*,*")=0)</formula>
    </cfRule>
  </conditionalFormatting>
  <conditionalFormatting sqref="AH8:AH16">
    <cfRule type="expression" dxfId="532" priority="2">
      <formula>AND(AG8="",FIND(",",AH8))</formula>
    </cfRule>
    <cfRule type="expression" dxfId="531" priority="3">
      <formula>AND(AG8="",COUNTIF(AH8,"*,*")=0)</formula>
    </cfRule>
  </conditionalFormatting>
  <conditionalFormatting sqref="A300:A308">
    <cfRule type="duplicateValues" dxfId="530" priority="64"/>
  </conditionalFormatting>
  <conditionalFormatting sqref="A8:A16">
    <cfRule type="duplicateValues" dxfId="529" priority="133"/>
  </conditionalFormatting>
  <conditionalFormatting sqref="B300:B308">
    <cfRule type="expression" dxfId="528" priority="179">
      <formula>A300=3</formula>
    </cfRule>
    <cfRule type="expression" dxfId="527" priority="180">
      <formula>A300=2</formula>
    </cfRule>
    <cfRule type="expression" dxfId="526" priority="181">
      <formula>A300=1</formula>
    </cfRule>
    <cfRule type="containsBlanks" dxfId="525" priority="182">
      <formula>LEN(TRIM(B300))=0</formula>
    </cfRule>
    <cfRule type="duplicateValues" dxfId="524" priority="183"/>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M313"/>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33.28515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8.28515625" hidden="1" customWidth="1"/>
    <col min="33" max="33" width="9.140625" hidden="1" customWidth="1"/>
    <col min="34" max="34" width="29.28515625" hidden="1" customWidth="1"/>
    <col min="35" max="35" width="9.140625" hidden="1" customWidth="1"/>
    <col min="36" max="36" width="17.28515625" hidden="1" customWidth="1"/>
    <col min="37" max="37" width="9.140625" hidden="1" customWidth="1"/>
    <col min="38" max="38" width="13.85546875" hidden="1" customWidth="1"/>
  </cols>
  <sheetData>
    <row r="1" spans="1:39" x14ac:dyDescent="0.2">
      <c r="A1" s="742" t="str">
        <f>UPPER((Kalend!E12)&amp;" - "&amp;(Kalend!C12)&amp;" - "&amp;(Kalend!D12))</f>
        <v>V2 - VOKA 6. KV 2. ETAPP - DUO</v>
      </c>
      <c r="B1" s="652"/>
      <c r="C1" s="653"/>
      <c r="D1" s="652"/>
      <c r="E1" s="652"/>
      <c r="F1" s="410" t="str">
        <f>HYPERLINK("#Kalend!I1","Kalender")</f>
        <v>Kalender</v>
      </c>
      <c r="G1" s="410"/>
      <c r="H1" s="410"/>
      <c r="I1" s="410"/>
      <c r="J1" s="654" t="str">
        <f>HYPERLINK("#V!AB1","Reiting")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tr">
        <f>"Toimumisaeg: "&amp;(Kalend!A12)&amp;" kell "&amp;(Kalend!B12)</f>
        <v>Toimumisaeg: K, 22.05.2019 kell 18:00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2"/>
      <c r="AE2" s="652"/>
      <c r="AF2" s="652"/>
      <c r="AG2" s="652"/>
      <c r="AH2" s="652"/>
      <c r="AI2" s="652"/>
      <c r="AJ2" s="652"/>
      <c r="AK2" s="652"/>
      <c r="AL2" s="652"/>
      <c r="AM2" s="652"/>
    </row>
    <row r="3" spans="1:39" x14ac:dyDescent="0.2">
      <c r="A3" s="659" t="str">
        <f>"Toimumiskoht: "&amp;(Kalend!F12)</f>
        <v>Toimumiskoht: Voka staadion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tr">
        <f>"Korraldaja: "&amp;(Kalend!G12)</f>
        <v>Korraldaja: Johannes Neiland</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ht="25.5" x14ac:dyDescent="0.2">
      <c r="A8" s="685">
        <v>1</v>
      </c>
      <c r="B8" s="686" t="s">
        <v>390</v>
      </c>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708">
        <f t="shared" ref="AD8" si="0">SUM(AE8:AL8)</f>
        <v>194</v>
      </c>
      <c r="AE8" s="709">
        <f>IFERROR(INDEX(V!R$7:R$62,MATCH(AF8,V!L$7:L$62,0)),"")</f>
        <v>20</v>
      </c>
      <c r="AF8" s="710" t="str">
        <f t="shared" ref="AF8:AF21" si="1">IFERROR(LEFT(B8,(FIND(",",B8,1)-1)),"")</f>
        <v>Karoliina Sild</v>
      </c>
      <c r="AG8" s="709" t="str">
        <f>IFERROR(INDEX(V!R$7:R$62,MATCH(AH8,V!L$7:L$62,0)),"")</f>
        <v/>
      </c>
      <c r="AH8" s="710" t="str">
        <f t="shared" ref="AH8:AH21" si="2">IFERROR(MID(B8,FIND(", ",B8)+2,256),"")</f>
        <v>Kenneth Muusikus, Tõnis Neiland</v>
      </c>
      <c r="AI8" s="709">
        <f>IFERROR(INDEX(V!R$7:R$62,MATCH(AJ8,V!L$7:L$62,0)),"")</f>
        <v>135</v>
      </c>
      <c r="AJ8" s="710" t="str">
        <f t="shared" ref="AJ8:AJ21" si="3">IFERROR(MID(B8,FIND("^",SUBSTITUTE(B8,", ","^",1))+2,FIND("^",SUBSTITUTE(B8,", ","^",2))-FIND("^",SUBSTITUTE(B8,", ","^",1))-2),"")</f>
        <v>Kenneth Muusikus</v>
      </c>
      <c r="AK8" s="709">
        <f>IFERROR(INDEX(V!R$7:R$62,MATCH(AL8,V!L$7:L$62,0)),"")</f>
        <v>39</v>
      </c>
      <c r="AL8" s="710" t="str">
        <f t="shared" ref="AL8:AL21" si="4">IFERROR(MID(B8,FIND(", ",B8,FIND(", ",B8,FIND(", ",B8))+1)+2,700),"")</f>
        <v>Tõnis Neiland</v>
      </c>
      <c r="AM8" s="652"/>
    </row>
    <row r="9" spans="1:39" x14ac:dyDescent="0.2">
      <c r="A9" s="685">
        <v>2</v>
      </c>
      <c r="B9" s="686" t="s">
        <v>391</v>
      </c>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21" si="5">IF(C9&gt;E9,J$3,IF(C9&lt;E9,J$5,IF(ISNUMBER(C9),J$4,0)))+IF(G9&gt;I9,J$3,IF(G9&lt;I9,J$5,IF(ISNUMBER(G9),J$4,0)))+IF(K9&gt;M9,J$3,IF(K9&lt;M9,J$5,IF(ISNUMBER(K9),J$4,0)))+IF(O9&gt;Q9,J$3,IF(O9&lt;Q9,J$5,IF(ISNUMBER(O9),J$4,0)))+IF(S9&gt;U9,J$3,IF(S9&lt;U9,J$5,IF(ISNUMBER(S9),J$4,0)))</f>
        <v>0</v>
      </c>
      <c r="X9" s="692"/>
      <c r="Y9" s="687">
        <f t="shared" ref="Y9:Y21" si="6">C9+G9+K9+O9+S9</f>
        <v>0</v>
      </c>
      <c r="Z9" s="688" t="s">
        <v>377</v>
      </c>
      <c r="AA9" s="693">
        <f t="shared" ref="AA9:AA21" si="7">E9+I9+M9+Q9+U9</f>
        <v>0</v>
      </c>
      <c r="AB9" s="694">
        <f t="shared" ref="AB9:AB21" si="8">Y9-AA9</f>
        <v>0</v>
      </c>
      <c r="AC9" s="695"/>
      <c r="AD9" s="708">
        <f t="shared" ref="AD9:AD21" si="9">SUM(AE9:AL9)</f>
        <v>334</v>
      </c>
      <c r="AE9" s="709">
        <f>IFERROR(INDEX(V!R$7:R$62,MATCH(AF9,V!L$7:L$62,0)),"")</f>
        <v>165</v>
      </c>
      <c r="AF9" s="710" t="str">
        <f t="shared" si="1"/>
        <v>Oksana Rõndenkova</v>
      </c>
      <c r="AG9" s="709">
        <f>IFERROR(INDEX(V!R$7:R$62,MATCH(AH9,V!L$7:L$62,0)),"")</f>
        <v>169</v>
      </c>
      <c r="AH9" s="710" t="str">
        <f t="shared" si="2"/>
        <v>Oleg Rõndenkov</v>
      </c>
      <c r="AI9" s="709" t="str">
        <f>IFERROR(INDEX(V!R$7:R$62,MATCH(AJ9,V!L$7:L$62,0)),"")</f>
        <v/>
      </c>
      <c r="AJ9" s="710" t="str">
        <f t="shared" si="3"/>
        <v/>
      </c>
      <c r="AK9" s="709" t="str">
        <f>IFERROR(INDEX(V!R$7:R$62,MATCH(AL9,V!L$7:L$62,0)),"")</f>
        <v/>
      </c>
      <c r="AL9" s="710" t="str">
        <f t="shared" si="4"/>
        <v/>
      </c>
      <c r="AM9" s="652"/>
    </row>
    <row r="10" spans="1:39" x14ac:dyDescent="0.2">
      <c r="A10" s="685">
        <v>3</v>
      </c>
      <c r="B10" s="686" t="s">
        <v>382</v>
      </c>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5"/>
        <v>0</v>
      </c>
      <c r="X10" s="692"/>
      <c r="Y10" s="687">
        <f t="shared" si="6"/>
        <v>0</v>
      </c>
      <c r="Z10" s="688" t="s">
        <v>377</v>
      </c>
      <c r="AA10" s="693">
        <f t="shared" si="7"/>
        <v>0</v>
      </c>
      <c r="AB10" s="694">
        <f t="shared" si="8"/>
        <v>0</v>
      </c>
      <c r="AC10" s="695"/>
      <c r="AD10" s="708">
        <f t="shared" si="9"/>
        <v>249</v>
      </c>
      <c r="AE10" s="709">
        <f>IFERROR(INDEX(V!R$7:R$62,MATCH(AF10,V!L$7:L$62,0)),"")</f>
        <v>101</v>
      </c>
      <c r="AF10" s="710" t="str">
        <f t="shared" si="1"/>
        <v>Mait Metsla</v>
      </c>
      <c r="AG10" s="709">
        <f>IFERROR(INDEX(V!R$7:R$62,MATCH(AH10,V!L$7:L$62,0)),"")</f>
        <v>148</v>
      </c>
      <c r="AH10" s="710" t="str">
        <f t="shared" si="2"/>
        <v>Matti Vinni</v>
      </c>
      <c r="AI10" s="709" t="str">
        <f>IFERROR(INDEX(V!R$7:R$62,MATCH(AJ10,V!L$7:L$62,0)),"")</f>
        <v/>
      </c>
      <c r="AJ10" s="710" t="str">
        <f t="shared" si="3"/>
        <v/>
      </c>
      <c r="AK10" s="709" t="str">
        <f>IFERROR(INDEX(V!R$7:R$62,MATCH(AL10,V!L$7:L$62,0)),"")</f>
        <v/>
      </c>
      <c r="AL10" s="710" t="str">
        <f t="shared" si="4"/>
        <v/>
      </c>
      <c r="AM10" s="652"/>
    </row>
    <row r="11" spans="1:39" x14ac:dyDescent="0.2">
      <c r="A11" s="685">
        <v>4</v>
      </c>
      <c r="B11" s="686" t="s">
        <v>392</v>
      </c>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5"/>
        <v>0</v>
      </c>
      <c r="X11" s="692"/>
      <c r="Y11" s="687">
        <f t="shared" si="6"/>
        <v>0</v>
      </c>
      <c r="Z11" s="688" t="s">
        <v>377</v>
      </c>
      <c r="AA11" s="693">
        <f t="shared" si="7"/>
        <v>0</v>
      </c>
      <c r="AB11" s="694">
        <f t="shared" si="8"/>
        <v>0</v>
      </c>
      <c r="AC11" s="695"/>
      <c r="AD11" s="708">
        <f t="shared" si="9"/>
        <v>96</v>
      </c>
      <c r="AE11" s="709">
        <f>IFERROR(INDEX(V!R$7:R$62,MATCH(AF11,V!L$7:L$62,0)),"")</f>
        <v>48</v>
      </c>
      <c r="AF11" s="710" t="str">
        <f t="shared" si="1"/>
        <v>Aarne Välja</v>
      </c>
      <c r="AG11" s="709">
        <f>IFERROR(INDEX(V!R$7:R$62,MATCH(AH11,V!L$7:L$62,0)),"")</f>
        <v>48</v>
      </c>
      <c r="AH11" s="710" t="str">
        <f t="shared" si="2"/>
        <v>Janek Tarto</v>
      </c>
      <c r="AI11" s="709" t="str">
        <f>IFERROR(INDEX(V!R$7:R$62,MATCH(AJ11,V!L$7:L$62,0)),"")</f>
        <v/>
      </c>
      <c r="AJ11" s="710" t="str">
        <f t="shared" si="3"/>
        <v/>
      </c>
      <c r="AK11" s="709" t="str">
        <f>IFERROR(INDEX(V!R$7:R$62,MATCH(AL11,V!L$7:L$62,0)),"")</f>
        <v/>
      </c>
      <c r="AL11" s="710" t="str">
        <f t="shared" si="4"/>
        <v/>
      </c>
      <c r="AM11" s="652"/>
    </row>
    <row r="12" spans="1:39" x14ac:dyDescent="0.2">
      <c r="A12" s="685">
        <v>5</v>
      </c>
      <c r="B12" s="686" t="s">
        <v>393</v>
      </c>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5"/>
        <v>0</v>
      </c>
      <c r="X12" s="692"/>
      <c r="Y12" s="687">
        <f t="shared" si="6"/>
        <v>0</v>
      </c>
      <c r="Z12" s="688" t="s">
        <v>377</v>
      </c>
      <c r="AA12" s="693">
        <f t="shared" si="7"/>
        <v>0</v>
      </c>
      <c r="AB12" s="694">
        <f t="shared" si="8"/>
        <v>0</v>
      </c>
      <c r="AC12" s="695"/>
      <c r="AD12" s="708">
        <f t="shared" si="9"/>
        <v>216</v>
      </c>
      <c r="AE12" s="709">
        <f>IFERROR(INDEX(V!R$7:R$62,MATCH(AF12,V!L$7:L$62,0)),"")</f>
        <v>113</v>
      </c>
      <c r="AF12" s="710" t="str">
        <f t="shared" si="1"/>
        <v>Andrei Grintšak</v>
      </c>
      <c r="AG12" s="709">
        <f>IFERROR(INDEX(V!R$7:R$62,MATCH(AH12,V!L$7:L$62,0)),"")</f>
        <v>103</v>
      </c>
      <c r="AH12" s="710" t="str">
        <f t="shared" si="2"/>
        <v>Boriss Klubov</v>
      </c>
      <c r="AI12" s="709" t="str">
        <f>IFERROR(INDEX(V!R$7:R$62,MATCH(AJ12,V!L$7:L$62,0)),"")</f>
        <v/>
      </c>
      <c r="AJ12" s="710" t="str">
        <f t="shared" si="3"/>
        <v/>
      </c>
      <c r="AK12" s="709" t="str">
        <f>IFERROR(INDEX(V!R$7:R$62,MATCH(AL12,V!L$7:L$62,0)),"")</f>
        <v/>
      </c>
      <c r="AL12" s="710" t="str">
        <f t="shared" si="4"/>
        <v/>
      </c>
      <c r="AM12" s="652"/>
    </row>
    <row r="13" spans="1:39" x14ac:dyDescent="0.2">
      <c r="A13" s="685">
        <v>6</v>
      </c>
      <c r="B13" s="686" t="s">
        <v>394</v>
      </c>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5"/>
        <v>0</v>
      </c>
      <c r="X13" s="692"/>
      <c r="Y13" s="687">
        <f t="shared" si="6"/>
        <v>0</v>
      </c>
      <c r="Z13" s="688" t="s">
        <v>377</v>
      </c>
      <c r="AA13" s="693">
        <f t="shared" si="7"/>
        <v>0</v>
      </c>
      <c r="AB13" s="694">
        <f t="shared" si="8"/>
        <v>0</v>
      </c>
      <c r="AC13" s="695"/>
      <c r="AD13" s="708">
        <f t="shared" si="9"/>
        <v>140</v>
      </c>
      <c r="AE13" s="709">
        <f>IFERROR(INDEX(V!R$7:R$62,MATCH(AF13,V!L$7:L$62,0)),"")</f>
        <v>15</v>
      </c>
      <c r="AF13" s="710" t="str">
        <f t="shared" si="1"/>
        <v>Argo Sepp</v>
      </c>
      <c r="AG13" s="709">
        <f>IFERROR(INDEX(V!R$7:R$62,MATCH(AH13,V!L$7:L$62,0)),"")</f>
        <v>125</v>
      </c>
      <c r="AH13" s="710" t="str">
        <f t="shared" si="2"/>
        <v>Karla Purgats</v>
      </c>
      <c r="AI13" s="709" t="str">
        <f>IFERROR(INDEX(V!R$7:R$62,MATCH(AJ13,V!L$7:L$62,0)),"")</f>
        <v/>
      </c>
      <c r="AJ13" s="710" t="str">
        <f t="shared" si="3"/>
        <v/>
      </c>
      <c r="AK13" s="709" t="str">
        <f>IFERROR(INDEX(V!R$7:R$62,MATCH(AL13,V!L$7:L$62,0)),"")</f>
        <v/>
      </c>
      <c r="AL13" s="710" t="str">
        <f t="shared" si="4"/>
        <v/>
      </c>
      <c r="AM13" s="652"/>
    </row>
    <row r="14" spans="1:39" x14ac:dyDescent="0.2">
      <c r="A14" s="685">
        <v>7</v>
      </c>
      <c r="B14" s="696" t="s">
        <v>395</v>
      </c>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5"/>
        <v>0</v>
      </c>
      <c r="X14" s="692"/>
      <c r="Y14" s="687">
        <f t="shared" si="6"/>
        <v>0</v>
      </c>
      <c r="Z14" s="688" t="s">
        <v>377</v>
      </c>
      <c r="AA14" s="693">
        <f t="shared" si="7"/>
        <v>0</v>
      </c>
      <c r="AB14" s="694">
        <f t="shared" si="8"/>
        <v>0</v>
      </c>
      <c r="AC14" s="695"/>
      <c r="AD14" s="708">
        <f t="shared" si="9"/>
        <v>137</v>
      </c>
      <c r="AE14" s="709">
        <f>IFERROR(INDEX(V!R$7:R$62,MATCH(AF14,V!L$7:L$62,0)),"")</f>
        <v>82</v>
      </c>
      <c r="AF14" s="710" t="str">
        <f t="shared" si="1"/>
        <v>Andres Veski</v>
      </c>
      <c r="AG14" s="709">
        <f>IFERROR(INDEX(V!R$7:R$62,MATCH(AH14,V!L$7:L$62,0)),"")</f>
        <v>55</v>
      </c>
      <c r="AH14" s="710" t="str">
        <f t="shared" si="2"/>
        <v>Svetlana Veski</v>
      </c>
      <c r="AI14" s="709" t="str">
        <f>IFERROR(INDEX(V!R$7:R$62,MATCH(AJ14,V!L$7:L$62,0)),"")</f>
        <v/>
      </c>
      <c r="AJ14" s="710" t="str">
        <f t="shared" si="3"/>
        <v/>
      </c>
      <c r="AK14" s="709" t="str">
        <f>IFERROR(INDEX(V!R$7:R$62,MATCH(AL14,V!L$7:L$62,0)),"")</f>
        <v/>
      </c>
      <c r="AL14" s="710" t="str">
        <f t="shared" si="4"/>
        <v/>
      </c>
      <c r="AM14" s="652"/>
    </row>
    <row r="15" spans="1:39" x14ac:dyDescent="0.2">
      <c r="A15" s="685">
        <v>8</v>
      </c>
      <c r="B15" s="696" t="s">
        <v>383</v>
      </c>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5"/>
        <v>0</v>
      </c>
      <c r="X15" s="692"/>
      <c r="Y15" s="687">
        <f t="shared" si="6"/>
        <v>0</v>
      </c>
      <c r="Z15" s="688" t="s">
        <v>377</v>
      </c>
      <c r="AA15" s="693">
        <f t="shared" si="7"/>
        <v>0</v>
      </c>
      <c r="AB15" s="694">
        <f t="shared" si="8"/>
        <v>0</v>
      </c>
      <c r="AC15" s="695"/>
      <c r="AD15" s="708">
        <f t="shared" si="9"/>
        <v>284</v>
      </c>
      <c r="AE15" s="709">
        <f>IFERROR(INDEX(V!R$7:R$62,MATCH(AF15,V!L$7:L$62,0)),"")</f>
        <v>142</v>
      </c>
      <c r="AF15" s="710" t="str">
        <f t="shared" si="1"/>
        <v>Elmo Lageda</v>
      </c>
      <c r="AG15" s="709">
        <f>IFERROR(INDEX(V!R$7:R$62,MATCH(AH15,V!L$7:L$62,0)),"")</f>
        <v>142</v>
      </c>
      <c r="AH15" s="710" t="str">
        <f t="shared" si="2"/>
        <v>Tõnu Piik</v>
      </c>
      <c r="AI15" s="709" t="str">
        <f>IFERROR(INDEX(V!R$7:R$62,MATCH(AJ15,V!L$7:L$62,0)),"")</f>
        <v/>
      </c>
      <c r="AJ15" s="710" t="str">
        <f t="shared" si="3"/>
        <v/>
      </c>
      <c r="AK15" s="709" t="str">
        <f>IFERROR(INDEX(V!R$7:R$62,MATCH(AL15,V!L$7:L$62,0)),"")</f>
        <v/>
      </c>
      <c r="AL15" s="710" t="str">
        <f t="shared" si="4"/>
        <v/>
      </c>
      <c r="AM15" s="652"/>
    </row>
    <row r="16" spans="1:39" x14ac:dyDescent="0.2">
      <c r="A16" s="685">
        <v>9</v>
      </c>
      <c r="B16" s="686" t="s">
        <v>381</v>
      </c>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5"/>
        <v>0</v>
      </c>
      <c r="X16" s="692"/>
      <c r="Y16" s="687">
        <f t="shared" si="6"/>
        <v>0</v>
      </c>
      <c r="Z16" s="688" t="s">
        <v>377</v>
      </c>
      <c r="AA16" s="693">
        <f t="shared" si="7"/>
        <v>0</v>
      </c>
      <c r="AB16" s="694">
        <f t="shared" si="8"/>
        <v>0</v>
      </c>
      <c r="AC16" s="695"/>
      <c r="AD16" s="708">
        <f t="shared" si="9"/>
        <v>136</v>
      </c>
      <c r="AE16" s="709">
        <f>IFERROR(INDEX(V!R$7:R$62,MATCH(AF16,V!L$7:L$62,0)),"")</f>
        <v>75</v>
      </c>
      <c r="AF16" s="710" t="str">
        <f t="shared" si="1"/>
        <v>Tõnu Kapper</v>
      </c>
      <c r="AG16" s="709">
        <f>IFERROR(INDEX(V!R$7:R$62,MATCH(AH16,V!L$7:L$62,0)),"")</f>
        <v>61</v>
      </c>
      <c r="AH16" s="710" t="str">
        <f t="shared" si="2"/>
        <v>Vladimir Ogneštšikov</v>
      </c>
      <c r="AI16" s="709" t="str">
        <f>IFERROR(INDEX(V!R$7:R$62,MATCH(AJ16,V!L$7:L$62,0)),"")</f>
        <v/>
      </c>
      <c r="AJ16" s="710" t="str">
        <f t="shared" si="3"/>
        <v/>
      </c>
      <c r="AK16" s="709" t="str">
        <f>IFERROR(INDEX(V!R$7:R$62,MATCH(AL16,V!L$7:L$62,0)),"")</f>
        <v/>
      </c>
      <c r="AL16" s="710" t="str">
        <f t="shared" si="4"/>
        <v/>
      </c>
      <c r="AM16" s="652"/>
    </row>
    <row r="17" spans="1:39" x14ac:dyDescent="0.2">
      <c r="A17" s="685">
        <v>10</v>
      </c>
      <c r="B17" s="686" t="s">
        <v>396</v>
      </c>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5"/>
        <v>0</v>
      </c>
      <c r="X17" s="692"/>
      <c r="Y17" s="687">
        <f t="shared" si="6"/>
        <v>0</v>
      </c>
      <c r="Z17" s="688" t="s">
        <v>377</v>
      </c>
      <c r="AA17" s="693">
        <f t="shared" si="7"/>
        <v>0</v>
      </c>
      <c r="AB17" s="694">
        <f t="shared" si="8"/>
        <v>0</v>
      </c>
      <c r="AC17" s="695"/>
      <c r="AD17" s="708">
        <f t="shared" si="9"/>
        <v>112</v>
      </c>
      <c r="AE17" s="709">
        <f>IFERROR(INDEX(V!R$7:R$62,MATCH(AF17,V!L$7:L$62,0)),"")</f>
        <v>66</v>
      </c>
      <c r="AF17" s="710" t="str">
        <f t="shared" si="1"/>
        <v>Jaan Sepp</v>
      </c>
      <c r="AG17" s="709">
        <f>IFERROR(INDEX(V!R$7:R$62,MATCH(AH17,V!L$7:L$62,0)),"")</f>
        <v>46</v>
      </c>
      <c r="AH17" s="710" t="str">
        <f t="shared" si="2"/>
        <v>Oskar Sepp</v>
      </c>
      <c r="AI17" s="709" t="str">
        <f>IFERROR(INDEX(V!R$7:R$62,MATCH(AJ17,V!L$7:L$62,0)),"")</f>
        <v/>
      </c>
      <c r="AJ17" s="710" t="str">
        <f t="shared" si="3"/>
        <v/>
      </c>
      <c r="AK17" s="709" t="str">
        <f>IFERROR(INDEX(V!R$7:R$62,MATCH(AL17,V!L$7:L$62,0)),"")</f>
        <v/>
      </c>
      <c r="AL17" s="710" t="str">
        <f t="shared" si="4"/>
        <v/>
      </c>
      <c r="AM17" s="652"/>
    </row>
    <row r="18" spans="1:39" x14ac:dyDescent="0.2">
      <c r="A18" s="685">
        <v>11</v>
      </c>
      <c r="B18" s="696" t="s">
        <v>397</v>
      </c>
      <c r="C18" s="687"/>
      <c r="D18" s="688" t="s">
        <v>377</v>
      </c>
      <c r="E18" s="689"/>
      <c r="F18" s="690"/>
      <c r="G18" s="687"/>
      <c r="H18" s="688" t="s">
        <v>377</v>
      </c>
      <c r="I18" s="689"/>
      <c r="J18" s="690"/>
      <c r="K18" s="687"/>
      <c r="L18" s="688" t="s">
        <v>377</v>
      </c>
      <c r="M18" s="689"/>
      <c r="N18" s="690"/>
      <c r="O18" s="687"/>
      <c r="P18" s="688" t="s">
        <v>377</v>
      </c>
      <c r="Q18" s="689"/>
      <c r="R18" s="690"/>
      <c r="S18" s="687"/>
      <c r="T18" s="688" t="s">
        <v>377</v>
      </c>
      <c r="U18" s="689"/>
      <c r="V18" s="690"/>
      <c r="W18" s="691">
        <f t="shared" si="5"/>
        <v>0</v>
      </c>
      <c r="X18" s="692"/>
      <c r="Y18" s="687">
        <f t="shared" si="6"/>
        <v>0</v>
      </c>
      <c r="Z18" s="688" t="s">
        <v>377</v>
      </c>
      <c r="AA18" s="693">
        <f t="shared" si="7"/>
        <v>0</v>
      </c>
      <c r="AB18" s="694">
        <f t="shared" si="8"/>
        <v>0</v>
      </c>
      <c r="AC18" s="695"/>
      <c r="AD18" s="708">
        <f t="shared" si="9"/>
        <v>166</v>
      </c>
      <c r="AE18" s="709">
        <f>IFERROR(INDEX(V!R$7:R$62,MATCH(AF18,V!L$7:L$62,0)),"")</f>
        <v>81</v>
      </c>
      <c r="AF18" s="710" t="str">
        <f t="shared" si="1"/>
        <v>Illar Tõnurist</v>
      </c>
      <c r="AG18" s="709">
        <f>IFERROR(INDEX(V!R$7:R$62,MATCH(AH18,V!L$7:L$62,0)),"")</f>
        <v>85</v>
      </c>
      <c r="AH18" s="710" t="str">
        <f t="shared" si="2"/>
        <v>Jaan Saar</v>
      </c>
      <c r="AI18" s="709" t="str">
        <f>IFERROR(INDEX(V!R$7:R$62,MATCH(AJ18,V!L$7:L$62,0)),"")</f>
        <v/>
      </c>
      <c r="AJ18" s="710" t="str">
        <f t="shared" si="3"/>
        <v/>
      </c>
      <c r="AK18" s="709" t="str">
        <f>IFERROR(INDEX(V!R$7:R$62,MATCH(AL18,V!L$7:L$62,0)),"")</f>
        <v/>
      </c>
      <c r="AL18" s="710" t="str">
        <f t="shared" si="4"/>
        <v/>
      </c>
      <c r="AM18" s="652"/>
    </row>
    <row r="19" spans="1:39" x14ac:dyDescent="0.2">
      <c r="A19" s="685">
        <v>12</v>
      </c>
      <c r="B19" s="696" t="s">
        <v>398</v>
      </c>
      <c r="C19" s="687"/>
      <c r="D19" s="688" t="s">
        <v>377</v>
      </c>
      <c r="E19" s="689"/>
      <c r="F19" s="690"/>
      <c r="G19" s="687"/>
      <c r="H19" s="688" t="s">
        <v>377</v>
      </c>
      <c r="I19" s="689"/>
      <c r="J19" s="690"/>
      <c r="K19" s="687"/>
      <c r="L19" s="688" t="s">
        <v>377</v>
      </c>
      <c r="M19" s="689"/>
      <c r="N19" s="690"/>
      <c r="O19" s="687"/>
      <c r="P19" s="688" t="s">
        <v>377</v>
      </c>
      <c r="Q19" s="689"/>
      <c r="R19" s="690"/>
      <c r="S19" s="687"/>
      <c r="T19" s="688" t="s">
        <v>377</v>
      </c>
      <c r="U19" s="689"/>
      <c r="V19" s="690"/>
      <c r="W19" s="691">
        <f t="shared" si="5"/>
        <v>0</v>
      </c>
      <c r="X19" s="692"/>
      <c r="Y19" s="687">
        <f t="shared" si="6"/>
        <v>0</v>
      </c>
      <c r="Z19" s="688" t="s">
        <v>377</v>
      </c>
      <c r="AA19" s="693">
        <f t="shared" si="7"/>
        <v>0</v>
      </c>
      <c r="AB19" s="694">
        <f t="shared" si="8"/>
        <v>0</v>
      </c>
      <c r="AC19" s="695"/>
      <c r="AD19" s="708">
        <f t="shared" si="9"/>
        <v>57</v>
      </c>
      <c r="AE19" s="709">
        <f>IFERROR(INDEX(V!R$7:R$62,MATCH(AF19,V!L$7:L$62,0)),"")</f>
        <v>48</v>
      </c>
      <c r="AF19" s="710" t="str">
        <f t="shared" si="1"/>
        <v>Aigi Orro</v>
      </c>
      <c r="AG19" s="709">
        <f>IFERROR(INDEX(V!R$7:R$62,MATCH(AH19,V!L$7:L$62,0)),"")</f>
        <v>9</v>
      </c>
      <c r="AH19" s="710" t="str">
        <f t="shared" si="2"/>
        <v>Väino Aul</v>
      </c>
      <c r="AI19" s="709" t="str">
        <f>IFERROR(INDEX(V!R$7:R$62,MATCH(AJ19,V!L$7:L$62,0)),"")</f>
        <v/>
      </c>
      <c r="AJ19" s="710" t="str">
        <f t="shared" si="3"/>
        <v/>
      </c>
      <c r="AK19" s="709" t="str">
        <f>IFERROR(INDEX(V!R$7:R$62,MATCH(AL19,V!L$7:L$62,0)),"")</f>
        <v/>
      </c>
      <c r="AL19" s="710" t="str">
        <f t="shared" si="4"/>
        <v/>
      </c>
      <c r="AM19" s="652"/>
    </row>
    <row r="20" spans="1:39" x14ac:dyDescent="0.2">
      <c r="A20" s="685">
        <v>13</v>
      </c>
      <c r="B20" s="686" t="s">
        <v>387</v>
      </c>
      <c r="C20" s="687"/>
      <c r="D20" s="688" t="s">
        <v>377</v>
      </c>
      <c r="E20" s="689"/>
      <c r="F20" s="690"/>
      <c r="G20" s="687"/>
      <c r="H20" s="688" t="s">
        <v>377</v>
      </c>
      <c r="I20" s="689"/>
      <c r="J20" s="690"/>
      <c r="K20" s="687"/>
      <c r="L20" s="688" t="s">
        <v>377</v>
      </c>
      <c r="M20" s="689"/>
      <c r="N20" s="690"/>
      <c r="O20" s="687"/>
      <c r="P20" s="688" t="s">
        <v>377</v>
      </c>
      <c r="Q20" s="689"/>
      <c r="R20" s="690"/>
      <c r="S20" s="687"/>
      <c r="T20" s="688" t="s">
        <v>377</v>
      </c>
      <c r="U20" s="689"/>
      <c r="V20" s="690"/>
      <c r="W20" s="691">
        <f t="shared" si="5"/>
        <v>0</v>
      </c>
      <c r="X20" s="692"/>
      <c r="Y20" s="687">
        <f t="shared" si="6"/>
        <v>0</v>
      </c>
      <c r="Z20" s="688" t="s">
        <v>377</v>
      </c>
      <c r="AA20" s="693">
        <f t="shared" si="7"/>
        <v>0</v>
      </c>
      <c r="AB20" s="694">
        <f t="shared" si="8"/>
        <v>0</v>
      </c>
      <c r="AC20" s="695"/>
      <c r="AD20" s="708">
        <f t="shared" si="9"/>
        <v>220</v>
      </c>
      <c r="AE20" s="709">
        <f>IFERROR(INDEX(V!R$7:R$62,MATCH(AF20,V!L$7:L$62,0)),"")</f>
        <v>102</v>
      </c>
      <c r="AF20" s="710" t="str">
        <f t="shared" si="1"/>
        <v>Enn Tokman</v>
      </c>
      <c r="AG20" s="709">
        <f>IFERROR(INDEX(V!R$7:R$62,MATCH(AH20,V!L$7:L$62,0)),"")</f>
        <v>118</v>
      </c>
      <c r="AH20" s="710" t="str">
        <f t="shared" si="2"/>
        <v>Tarmo Bombe</v>
      </c>
      <c r="AI20" s="709" t="str">
        <f>IFERROR(INDEX(V!R$7:R$62,MATCH(AJ20,V!L$7:L$62,0)),"")</f>
        <v/>
      </c>
      <c r="AJ20" s="710" t="str">
        <f t="shared" si="3"/>
        <v/>
      </c>
      <c r="AK20" s="709" t="str">
        <f>IFERROR(INDEX(V!R$7:R$62,MATCH(AL20,V!L$7:L$62,0)),"")</f>
        <v/>
      </c>
      <c r="AL20" s="710" t="str">
        <f t="shared" si="4"/>
        <v/>
      </c>
      <c r="AM20" s="652"/>
    </row>
    <row r="21" spans="1:39" x14ac:dyDescent="0.2">
      <c r="A21" s="685">
        <v>14</v>
      </c>
      <c r="B21" s="696" t="s">
        <v>385</v>
      </c>
      <c r="C21" s="687"/>
      <c r="D21" s="688" t="s">
        <v>377</v>
      </c>
      <c r="E21" s="689"/>
      <c r="F21" s="690"/>
      <c r="G21" s="687"/>
      <c r="H21" s="688" t="s">
        <v>377</v>
      </c>
      <c r="I21" s="689"/>
      <c r="J21" s="690"/>
      <c r="K21" s="687"/>
      <c r="L21" s="688" t="s">
        <v>377</v>
      </c>
      <c r="M21" s="689"/>
      <c r="N21" s="690"/>
      <c r="O21" s="687"/>
      <c r="P21" s="688" t="s">
        <v>377</v>
      </c>
      <c r="Q21" s="689"/>
      <c r="R21" s="690"/>
      <c r="S21" s="687"/>
      <c r="T21" s="688" t="s">
        <v>377</v>
      </c>
      <c r="U21" s="689"/>
      <c r="V21" s="690"/>
      <c r="W21" s="691">
        <f t="shared" si="5"/>
        <v>0</v>
      </c>
      <c r="X21" s="692"/>
      <c r="Y21" s="687">
        <f t="shared" si="6"/>
        <v>0</v>
      </c>
      <c r="Z21" s="688" t="s">
        <v>377</v>
      </c>
      <c r="AA21" s="693">
        <f t="shared" si="7"/>
        <v>0</v>
      </c>
      <c r="AB21" s="694">
        <f t="shared" si="8"/>
        <v>0</v>
      </c>
      <c r="AC21" s="695"/>
      <c r="AD21" s="708">
        <f t="shared" si="9"/>
        <v>108</v>
      </c>
      <c r="AE21" s="709">
        <f>IFERROR(INDEX(V!R$7:R$62,MATCH(AF21,V!L$7:L$62,0)),"")</f>
        <v>54</v>
      </c>
      <c r="AF21" s="710" t="str">
        <f t="shared" si="1"/>
        <v>Meelis Luud</v>
      </c>
      <c r="AG21" s="709">
        <f>IFERROR(INDEX(V!R$7:R$62,MATCH(AH21,V!L$7:L$62,0)),"")</f>
        <v>54</v>
      </c>
      <c r="AH21" s="710" t="str">
        <f t="shared" si="2"/>
        <v>Sander Rose</v>
      </c>
      <c r="AI21" s="709" t="str">
        <f>IFERROR(INDEX(V!R$7:R$62,MATCH(AJ21,V!L$7:L$62,0)),"")</f>
        <v/>
      </c>
      <c r="AJ21" s="710" t="str">
        <f t="shared" si="3"/>
        <v/>
      </c>
      <c r="AK21" s="709" t="str">
        <f>IFERROR(INDEX(V!R$7:R$62,MATCH(AL21,V!L$7:L$62,0)),"")</f>
        <v/>
      </c>
      <c r="AL21" s="710" t="str">
        <f t="shared" si="4"/>
        <v/>
      </c>
      <c r="AM21" s="652"/>
    </row>
    <row r="22" spans="1:39" hidden="1" x14ac:dyDescent="0.2">
      <c r="A22" s="652"/>
      <c r="B22" s="652"/>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row>
    <row r="23" spans="1:39" hidden="1" x14ac:dyDescent="0.2">
      <c r="A23" s="652"/>
      <c r="B23" s="652"/>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row>
    <row r="24" spans="1:39" hidden="1" x14ac:dyDescent="0.2">
      <c r="A24" s="652"/>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row>
    <row r="25" spans="1:39" hidden="1" x14ac:dyDescent="0.2">
      <c r="A25" s="652"/>
      <c r="B25" s="652"/>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row>
    <row r="26" spans="1:39" hidden="1" x14ac:dyDescent="0.2">
      <c r="A26" s="652"/>
      <c r="B26" s="652"/>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row>
    <row r="27" spans="1:39" hidden="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row>
    <row r="28" spans="1:39" hidden="1" x14ac:dyDescent="0.2">
      <c r="A28" s="652"/>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row>
    <row r="29" spans="1:39" hidden="1" x14ac:dyDescent="0.2">
      <c r="A29" s="652"/>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row>
    <row r="30" spans="1:39"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row>
    <row r="31" spans="1:39"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row>
    <row r="32" spans="1:39"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row>
    <row r="33" spans="1:39"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row>
    <row r="34" spans="1:39"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row>
    <row r="35" spans="1:39"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row>
    <row r="36" spans="1:39"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2"/>
    </row>
    <row r="133" spans="1:39"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c r="AH133" s="652"/>
      <c r="AI133" s="652"/>
      <c r="AJ133" s="652"/>
      <c r="AK133" s="652"/>
      <c r="AL133" s="652"/>
      <c r="AM133" s="652"/>
    </row>
    <row r="134" spans="1:39" hidden="1" x14ac:dyDescent="0.2">
      <c r="A134" s="652"/>
      <c r="B134" s="652"/>
      <c r="C134" s="652"/>
      <c r="D134" s="652"/>
      <c r="E134" s="652"/>
      <c r="F134" s="652"/>
      <c r="G134" s="652"/>
      <c r="H134" s="652"/>
      <c r="I134" s="652"/>
      <c r="J134" s="652"/>
      <c r="K134" s="652"/>
      <c r="L134" s="652"/>
      <c r="M134" s="652"/>
      <c r="N134" s="652"/>
      <c r="O134" s="652"/>
      <c r="P134" s="652"/>
      <c r="Q134" s="652"/>
      <c r="R134" s="652"/>
      <c r="S134" s="652"/>
      <c r="T134" s="652"/>
      <c r="U134" s="652"/>
      <c r="V134" s="652"/>
      <c r="W134" s="652"/>
      <c r="X134" s="652"/>
      <c r="Y134" s="652"/>
      <c r="Z134" s="652"/>
      <c r="AA134" s="652"/>
      <c r="AB134" s="652"/>
      <c r="AC134" s="652"/>
      <c r="AD134" s="652"/>
      <c r="AE134" s="652"/>
      <c r="AF134" s="652"/>
      <c r="AG134" s="652"/>
      <c r="AH134" s="652"/>
      <c r="AI134" s="652"/>
      <c r="AJ134" s="652"/>
      <c r="AK134" s="652"/>
      <c r="AL134" s="652"/>
      <c r="AM134" s="652"/>
    </row>
    <row r="135" spans="1:39" hidden="1" x14ac:dyDescent="0.2">
      <c r="A135" s="652"/>
      <c r="B135" s="652"/>
      <c r="C135" s="652"/>
      <c r="D135" s="652"/>
      <c r="E135" s="652"/>
      <c r="F135" s="652"/>
      <c r="G135" s="652"/>
      <c r="H135" s="652"/>
      <c r="I135" s="652"/>
      <c r="J135" s="652"/>
      <c r="K135" s="652"/>
      <c r="L135" s="652"/>
      <c r="M135" s="652"/>
      <c r="N135" s="652"/>
      <c r="O135" s="652"/>
      <c r="P135" s="652"/>
      <c r="Q135" s="652"/>
      <c r="R135" s="652"/>
      <c r="S135" s="652"/>
      <c r="T135" s="652"/>
      <c r="U135" s="652"/>
      <c r="V135" s="652"/>
      <c r="W135" s="652"/>
      <c r="X135" s="652"/>
      <c r="Y135" s="652"/>
      <c r="Z135" s="652"/>
      <c r="AA135" s="652"/>
      <c r="AB135" s="652"/>
      <c r="AC135" s="652"/>
      <c r="AD135" s="652"/>
      <c r="AE135" s="652"/>
      <c r="AF135" s="652"/>
      <c r="AG135" s="652"/>
      <c r="AH135" s="652"/>
      <c r="AI135" s="652"/>
      <c r="AJ135" s="652"/>
      <c r="AK135" s="652"/>
      <c r="AL135" s="652"/>
      <c r="AM135" s="652"/>
    </row>
    <row r="136" spans="1:39" hidden="1" x14ac:dyDescent="0.2">
      <c r="A136" s="652"/>
      <c r="B136" s="652"/>
      <c r="C136" s="652"/>
      <c r="D136" s="652"/>
      <c r="E136" s="652"/>
      <c r="F136" s="652"/>
      <c r="G136" s="652"/>
      <c r="H136" s="652"/>
      <c r="I136" s="652"/>
      <c r="J136" s="652"/>
      <c r="K136" s="652"/>
      <c r="L136" s="652"/>
      <c r="M136" s="652"/>
      <c r="N136" s="652"/>
      <c r="O136" s="652"/>
      <c r="P136" s="652"/>
      <c r="Q136" s="652"/>
      <c r="R136" s="652"/>
      <c r="S136" s="652"/>
      <c r="T136" s="652"/>
      <c r="U136" s="652"/>
      <c r="V136" s="652"/>
      <c r="W136" s="652"/>
      <c r="X136" s="652"/>
      <c r="Y136" s="652"/>
      <c r="Z136" s="652"/>
      <c r="AA136" s="652"/>
      <c r="AB136" s="652"/>
      <c r="AC136" s="652"/>
      <c r="AD136" s="652"/>
      <c r="AE136" s="652"/>
      <c r="AF136" s="652"/>
      <c r="AG136" s="652"/>
      <c r="AH136" s="652"/>
      <c r="AI136" s="652"/>
      <c r="AJ136" s="652"/>
      <c r="AK136" s="652"/>
      <c r="AL136" s="652"/>
      <c r="AM136" s="652"/>
    </row>
    <row r="137" spans="1:39" hidden="1" x14ac:dyDescent="0.2">
      <c r="A137" s="652"/>
      <c r="B137" s="652"/>
      <c r="C137" s="652"/>
      <c r="D137" s="652"/>
      <c r="E137" s="652"/>
      <c r="F137" s="652"/>
      <c r="G137" s="652"/>
      <c r="H137" s="652"/>
      <c r="I137" s="652"/>
      <c r="J137" s="652"/>
      <c r="K137" s="652"/>
      <c r="L137" s="657"/>
      <c r="M137" s="657"/>
      <c r="N137" s="657"/>
      <c r="O137" s="652"/>
      <c r="P137" s="652"/>
      <c r="Q137" s="652"/>
      <c r="R137" s="652"/>
      <c r="S137" s="652"/>
      <c r="T137" s="657"/>
      <c r="U137" s="657"/>
      <c r="V137" s="657"/>
      <c r="W137" s="652"/>
      <c r="X137" s="652"/>
      <c r="Y137" s="652"/>
      <c r="Z137" s="652"/>
      <c r="AA137" s="652"/>
      <c r="AB137" s="652"/>
      <c r="AC137" s="652"/>
      <c r="AD137" s="652"/>
      <c r="AE137" s="652"/>
      <c r="AF137" s="652"/>
      <c r="AG137" s="652"/>
      <c r="AH137" s="652"/>
      <c r="AI137" s="652"/>
      <c r="AJ137" s="652"/>
      <c r="AK137" s="652"/>
      <c r="AL137" s="652"/>
      <c r="AM137" s="652"/>
    </row>
    <row r="138" spans="1:39" hidden="1" x14ac:dyDescent="0.2">
      <c r="A138" s="652"/>
      <c r="B138" s="652"/>
      <c r="C138" s="652"/>
      <c r="D138" s="652"/>
      <c r="E138" s="652"/>
      <c r="F138" s="652"/>
      <c r="G138" s="652"/>
      <c r="H138" s="652"/>
      <c r="I138" s="652"/>
      <c r="J138" s="652"/>
      <c r="K138" s="652"/>
      <c r="L138" s="657"/>
      <c r="M138" s="657"/>
      <c r="N138" s="657"/>
      <c r="O138" s="652"/>
      <c r="P138" s="652"/>
      <c r="Q138" s="652"/>
      <c r="R138" s="652"/>
      <c r="S138" s="652"/>
      <c r="T138" s="657"/>
      <c r="U138" s="657"/>
      <c r="V138" s="657"/>
      <c r="W138" s="652"/>
      <c r="X138" s="652"/>
      <c r="Y138" s="652"/>
      <c r="Z138" s="652"/>
      <c r="AA138" s="652"/>
      <c r="AB138" s="652"/>
      <c r="AC138" s="652"/>
      <c r="AD138" s="652"/>
      <c r="AE138" s="652"/>
      <c r="AF138" s="652"/>
      <c r="AG138" s="652"/>
      <c r="AH138" s="652"/>
      <c r="AI138" s="652"/>
      <c r="AJ138" s="652"/>
      <c r="AK138" s="652"/>
      <c r="AL138" s="652"/>
      <c r="AM138" s="652"/>
    </row>
    <row r="139" spans="1:39" hidden="1" x14ac:dyDescent="0.2">
      <c r="A139" s="652"/>
      <c r="B139" s="652"/>
      <c r="C139" s="652"/>
      <c r="D139" s="652"/>
      <c r="E139" s="652"/>
      <c r="F139" s="652"/>
      <c r="G139" s="652"/>
      <c r="H139" s="652"/>
      <c r="I139" s="652"/>
      <c r="J139" s="652"/>
      <c r="K139" s="652"/>
      <c r="L139" s="657"/>
      <c r="M139" s="657"/>
      <c r="N139" s="657"/>
      <c r="O139" s="652"/>
      <c r="P139" s="652"/>
      <c r="Q139" s="652"/>
      <c r="R139" s="652"/>
      <c r="S139" s="652"/>
      <c r="T139" s="657"/>
      <c r="U139" s="657"/>
      <c r="V139" s="657"/>
      <c r="W139" s="652"/>
      <c r="X139" s="652"/>
      <c r="Y139" s="652"/>
      <c r="Z139" s="652"/>
      <c r="AA139" s="652"/>
      <c r="AB139" s="652"/>
      <c r="AC139" s="652"/>
      <c r="AD139" s="652"/>
      <c r="AE139" s="652"/>
      <c r="AF139" s="652"/>
      <c r="AG139" s="652"/>
      <c r="AH139" s="652"/>
      <c r="AI139" s="652"/>
      <c r="AJ139" s="652"/>
      <c r="AK139" s="652"/>
      <c r="AL139" s="652"/>
      <c r="AM139" s="652"/>
    </row>
    <row r="140" spans="1:39" hidden="1" x14ac:dyDescent="0.2">
      <c r="A140" s="652"/>
      <c r="B140" s="652"/>
      <c r="C140" s="652"/>
      <c r="D140" s="652"/>
      <c r="E140" s="652"/>
      <c r="F140" s="652"/>
      <c r="G140" s="652"/>
      <c r="H140" s="652"/>
      <c r="I140" s="652"/>
      <c r="J140" s="652"/>
      <c r="K140" s="652"/>
      <c r="L140" s="657"/>
      <c r="M140" s="657"/>
      <c r="N140" s="657"/>
      <c r="O140" s="652"/>
      <c r="P140" s="652"/>
      <c r="Q140" s="652"/>
      <c r="R140" s="652"/>
      <c r="S140" s="652"/>
      <c r="T140" s="657"/>
      <c r="U140" s="657"/>
      <c r="V140" s="657"/>
      <c r="W140" s="652"/>
      <c r="X140" s="652"/>
      <c r="Y140" s="652"/>
      <c r="Z140" s="652"/>
      <c r="AA140" s="652"/>
      <c r="AB140" s="652"/>
      <c r="AC140" s="652"/>
      <c r="AD140" s="652"/>
      <c r="AE140" s="652"/>
      <c r="AF140" s="652"/>
      <c r="AG140" s="652"/>
      <c r="AH140" s="652"/>
      <c r="AI140" s="652"/>
      <c r="AJ140" s="652"/>
      <c r="AK140" s="652"/>
      <c r="AL140" s="652"/>
      <c r="AM140" s="652"/>
    </row>
    <row r="141" spans="1:39" hidden="1" x14ac:dyDescent="0.2">
      <c r="A141" s="652"/>
      <c r="B141" s="652"/>
      <c r="C141" s="652"/>
      <c r="D141" s="652"/>
      <c r="E141" s="652"/>
      <c r="F141" s="652"/>
      <c r="G141" s="652"/>
      <c r="H141" s="652"/>
      <c r="I141" s="652"/>
      <c r="J141" s="652"/>
      <c r="K141" s="652"/>
      <c r="L141" s="657"/>
      <c r="M141" s="657"/>
      <c r="N141" s="657"/>
      <c r="O141" s="652"/>
      <c r="P141" s="652"/>
      <c r="Q141" s="652"/>
      <c r="R141" s="652"/>
      <c r="S141" s="652"/>
      <c r="T141" s="657"/>
      <c r="U141" s="657"/>
      <c r="V141" s="657"/>
      <c r="W141" s="652"/>
      <c r="X141" s="652"/>
      <c r="Y141" s="652"/>
      <c r="Z141" s="652"/>
      <c r="AA141" s="652"/>
      <c r="AB141" s="652"/>
      <c r="AC141" s="652"/>
      <c r="AD141" s="652"/>
      <c r="AE141" s="652"/>
      <c r="AF141" s="652"/>
      <c r="AG141" s="652"/>
      <c r="AH141" s="652"/>
      <c r="AI141" s="652"/>
      <c r="AJ141" s="652"/>
      <c r="AK141" s="652"/>
      <c r="AL141" s="652"/>
      <c r="AM141" s="652"/>
    </row>
    <row r="142" spans="1:39" hidden="1" x14ac:dyDescent="0.2">
      <c r="A142" s="652"/>
      <c r="B142" s="652"/>
      <c r="C142" s="652"/>
      <c r="D142" s="652"/>
      <c r="E142" s="652"/>
      <c r="F142" s="652"/>
      <c r="G142" s="652"/>
      <c r="H142" s="652"/>
      <c r="I142" s="652"/>
      <c r="J142" s="652"/>
      <c r="K142" s="652"/>
      <c r="L142" s="657"/>
      <c r="M142" s="657"/>
      <c r="N142" s="657"/>
      <c r="O142" s="652"/>
      <c r="P142" s="652"/>
      <c r="Q142" s="652"/>
      <c r="R142" s="652"/>
      <c r="S142" s="652"/>
      <c r="T142" s="657"/>
      <c r="U142" s="657"/>
      <c r="V142" s="657"/>
      <c r="W142" s="652"/>
      <c r="X142" s="652"/>
      <c r="Y142" s="652"/>
      <c r="Z142" s="652"/>
      <c r="AA142" s="652"/>
      <c r="AB142" s="652"/>
      <c r="AC142" s="652"/>
      <c r="AD142" s="652"/>
      <c r="AE142" s="652"/>
      <c r="AF142" s="652"/>
      <c r="AG142" s="652"/>
      <c r="AH142" s="652"/>
      <c r="AI142" s="652"/>
      <c r="AJ142" s="652"/>
      <c r="AK142" s="652"/>
      <c r="AL142" s="652"/>
      <c r="AM142" s="652"/>
    </row>
    <row r="143" spans="1:39" hidden="1" x14ac:dyDescent="0.2">
      <c r="A143" s="652"/>
      <c r="B143" s="652"/>
      <c r="C143" s="652"/>
      <c r="D143" s="652"/>
      <c r="E143" s="652"/>
      <c r="F143" s="652"/>
      <c r="G143" s="652"/>
      <c r="H143" s="652"/>
      <c r="I143" s="652"/>
      <c r="J143" s="652"/>
      <c r="K143" s="652"/>
      <c r="L143" s="657"/>
      <c r="M143" s="657"/>
      <c r="N143" s="657"/>
      <c r="O143" s="652"/>
      <c r="P143" s="652"/>
      <c r="Q143" s="652"/>
      <c r="R143" s="652"/>
      <c r="S143" s="652"/>
      <c r="T143" s="657"/>
      <c r="U143" s="657"/>
      <c r="V143" s="657"/>
      <c r="W143" s="652"/>
      <c r="X143" s="652"/>
      <c r="Y143" s="652"/>
      <c r="Z143" s="652"/>
      <c r="AA143" s="652"/>
      <c r="AB143" s="652"/>
      <c r="AC143" s="652"/>
      <c r="AD143" s="652"/>
      <c r="AE143" s="652"/>
      <c r="AF143" s="652"/>
      <c r="AG143" s="652"/>
      <c r="AH143" s="652"/>
      <c r="AI143" s="652"/>
      <c r="AJ143" s="652"/>
      <c r="AK143" s="652"/>
      <c r="AL143" s="652"/>
      <c r="AM143" s="652"/>
    </row>
    <row r="144" spans="1:39" hidden="1" x14ac:dyDescent="0.2">
      <c r="A144" s="652"/>
      <c r="B144" s="652"/>
      <c r="C144" s="652"/>
      <c r="D144" s="652"/>
      <c r="E144" s="652"/>
      <c r="F144" s="652"/>
      <c r="G144" s="652"/>
      <c r="H144" s="652"/>
      <c r="I144" s="652"/>
      <c r="J144" s="652"/>
      <c r="K144" s="652"/>
      <c r="L144" s="657"/>
      <c r="M144" s="657"/>
      <c r="N144" s="657"/>
      <c r="O144" s="652"/>
      <c r="P144" s="652"/>
      <c r="Q144" s="652"/>
      <c r="R144" s="652"/>
      <c r="S144" s="652"/>
      <c r="T144" s="657"/>
      <c r="U144" s="657"/>
      <c r="V144" s="657"/>
      <c r="W144" s="652"/>
      <c r="X144" s="652"/>
      <c r="Y144" s="652"/>
      <c r="Z144" s="652"/>
      <c r="AA144" s="652"/>
      <c r="AB144" s="652"/>
      <c r="AC144" s="652"/>
      <c r="AD144" s="652"/>
      <c r="AE144" s="652"/>
      <c r="AF144" s="652"/>
      <c r="AG144" s="652"/>
      <c r="AH144" s="652"/>
      <c r="AI144" s="652"/>
      <c r="AJ144" s="652"/>
      <c r="AK144" s="652"/>
      <c r="AL144" s="652"/>
      <c r="AM144" s="652"/>
    </row>
    <row r="145" spans="1:39"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652"/>
      <c r="AF145" s="652"/>
      <c r="AG145" s="652"/>
      <c r="AH145" s="652"/>
      <c r="AI145" s="652"/>
      <c r="AJ145" s="652"/>
      <c r="AK145" s="652"/>
      <c r="AL145" s="652"/>
      <c r="AM145" s="652"/>
    </row>
    <row r="146" spans="1:39"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652"/>
      <c r="AF146" s="652"/>
      <c r="AG146" s="652"/>
      <c r="AH146" s="652"/>
      <c r="AI146" s="652"/>
      <c r="AJ146" s="652"/>
      <c r="AK146" s="652"/>
      <c r="AL146" s="652"/>
      <c r="AM146" s="652"/>
    </row>
    <row r="147" spans="1:39"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c r="AI148" s="652"/>
      <c r="AJ148" s="652"/>
      <c r="AK148" s="652"/>
      <c r="AL148" s="652"/>
      <c r="AM148" s="652"/>
    </row>
    <row r="149" spans="1:39"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c r="AH149" s="652"/>
      <c r="AI149" s="652"/>
      <c r="AJ149" s="652"/>
      <c r="AK149" s="652"/>
      <c r="AL149" s="652"/>
      <c r="AM149" s="652"/>
    </row>
    <row r="150" spans="1:39" hidden="1" x14ac:dyDescent="0.2">
      <c r="A150" s="652"/>
      <c r="B150" s="652"/>
      <c r="C150" s="652"/>
      <c r="D150" s="652"/>
      <c r="E150" s="652"/>
      <c r="F150" s="652"/>
      <c r="G150" s="652"/>
      <c r="H150" s="652"/>
      <c r="I150" s="652"/>
      <c r="J150" s="652"/>
      <c r="K150" s="652"/>
      <c r="L150" s="657"/>
      <c r="M150" s="657"/>
      <c r="N150" s="657"/>
      <c r="O150" s="652"/>
      <c r="P150" s="652"/>
      <c r="Q150" s="652"/>
      <c r="R150" s="652"/>
      <c r="S150" s="652"/>
      <c r="T150" s="657"/>
      <c r="U150" s="657"/>
      <c r="V150" s="657"/>
      <c r="W150" s="652"/>
      <c r="X150" s="652"/>
      <c r="Y150" s="652"/>
      <c r="Z150" s="652"/>
      <c r="AA150" s="652"/>
      <c r="AB150" s="652"/>
      <c r="AC150" s="652"/>
      <c r="AD150" s="652"/>
      <c r="AE150" s="652"/>
      <c r="AF150" s="652"/>
      <c r="AG150" s="652"/>
      <c r="AH150" s="652"/>
      <c r="AI150" s="652"/>
      <c r="AJ150" s="652"/>
      <c r="AK150" s="652"/>
      <c r="AL150" s="652"/>
      <c r="AM150" s="652"/>
    </row>
    <row r="151" spans="1:39" hidden="1" x14ac:dyDescent="0.2">
      <c r="A151" s="652"/>
      <c r="B151" s="652"/>
      <c r="C151" s="652"/>
      <c r="D151" s="652"/>
      <c r="E151" s="652"/>
      <c r="F151" s="652"/>
      <c r="G151" s="652"/>
      <c r="H151" s="652"/>
      <c r="I151" s="652"/>
      <c r="J151" s="652"/>
      <c r="K151" s="652"/>
      <c r="L151" s="657"/>
      <c r="M151" s="657"/>
      <c r="N151" s="657"/>
      <c r="O151" s="652"/>
      <c r="P151" s="652"/>
      <c r="Q151" s="652"/>
      <c r="R151" s="652"/>
      <c r="S151" s="652"/>
      <c r="T151" s="657"/>
      <c r="U151" s="657"/>
      <c r="V151" s="657"/>
      <c r="W151" s="652"/>
      <c r="X151" s="652"/>
      <c r="Y151" s="652"/>
      <c r="Z151" s="652"/>
      <c r="AA151" s="652"/>
      <c r="AB151" s="652"/>
      <c r="AC151" s="652"/>
      <c r="AD151" s="652"/>
      <c r="AE151" s="652"/>
      <c r="AF151" s="652"/>
      <c r="AG151" s="652"/>
      <c r="AH151" s="652"/>
      <c r="AI151" s="652"/>
      <c r="AJ151" s="652"/>
      <c r="AK151" s="652"/>
      <c r="AL151" s="652"/>
      <c r="AM151" s="652"/>
    </row>
    <row r="152" spans="1:39" hidden="1" x14ac:dyDescent="0.2">
      <c r="A152" s="652"/>
      <c r="B152" s="652"/>
      <c r="C152" s="652"/>
      <c r="D152" s="652"/>
      <c r="E152" s="652"/>
      <c r="F152" s="652"/>
      <c r="G152" s="652"/>
      <c r="H152" s="652"/>
      <c r="I152" s="652"/>
      <c r="J152" s="652"/>
      <c r="K152" s="652"/>
      <c r="L152" s="657"/>
      <c r="M152" s="657"/>
      <c r="N152" s="657"/>
      <c r="O152" s="652"/>
      <c r="P152" s="652"/>
      <c r="Q152" s="652"/>
      <c r="R152" s="652"/>
      <c r="S152" s="652"/>
      <c r="T152" s="657"/>
      <c r="U152" s="657"/>
      <c r="V152" s="657"/>
      <c r="W152" s="652"/>
      <c r="X152" s="652"/>
      <c r="Y152" s="652"/>
      <c r="Z152" s="652"/>
      <c r="AA152" s="652"/>
      <c r="AB152" s="652"/>
      <c r="AC152" s="652"/>
      <c r="AD152" s="652"/>
      <c r="AE152" s="652"/>
      <c r="AF152" s="652"/>
      <c r="AG152" s="652"/>
      <c r="AH152" s="652"/>
      <c r="AI152" s="652"/>
      <c r="AJ152" s="652"/>
      <c r="AK152" s="652"/>
      <c r="AL152" s="652"/>
      <c r="AM152" s="652"/>
    </row>
    <row r="153" spans="1:39" hidden="1" x14ac:dyDescent="0.2">
      <c r="A153" s="652"/>
      <c r="B153" s="652"/>
      <c r="C153" s="652"/>
      <c r="D153" s="652"/>
      <c r="E153" s="652"/>
      <c r="F153" s="652"/>
      <c r="G153" s="652"/>
      <c r="H153" s="652"/>
      <c r="I153" s="652"/>
      <c r="J153" s="652"/>
      <c r="K153" s="652"/>
      <c r="L153" s="652"/>
      <c r="M153" s="652"/>
      <c r="N153" s="652"/>
      <c r="O153" s="652"/>
      <c r="P153" s="652"/>
      <c r="Q153" s="652"/>
      <c r="R153" s="652"/>
      <c r="S153" s="652"/>
      <c r="T153" s="652"/>
      <c r="U153" s="652"/>
      <c r="V153" s="652"/>
      <c r="W153" s="652"/>
      <c r="X153" s="652"/>
      <c r="Y153" s="652"/>
      <c r="Z153" s="652"/>
      <c r="AA153" s="652"/>
      <c r="AB153" s="652"/>
      <c r="AC153" s="652"/>
      <c r="AD153" s="652"/>
      <c r="AE153" s="652"/>
      <c r="AF153" s="652"/>
      <c r="AG153" s="652"/>
      <c r="AH153" s="652"/>
      <c r="AI153" s="652"/>
      <c r="AJ153" s="652"/>
      <c r="AK153" s="652"/>
      <c r="AL153" s="652"/>
      <c r="AM153" s="652"/>
    </row>
    <row r="154" spans="1:39" hidden="1" x14ac:dyDescent="0.2">
      <c r="A154" s="652"/>
      <c r="B154" s="652"/>
      <c r="C154" s="652"/>
      <c r="D154" s="652"/>
      <c r="E154" s="652"/>
      <c r="F154" s="652"/>
      <c r="G154" s="652"/>
      <c r="H154" s="652"/>
      <c r="I154" s="652"/>
      <c r="J154" s="652"/>
      <c r="K154" s="652"/>
      <c r="L154" s="652"/>
      <c r="M154" s="652"/>
      <c r="N154" s="652"/>
      <c r="O154" s="652"/>
      <c r="P154" s="652"/>
      <c r="Q154" s="652"/>
      <c r="R154" s="652"/>
      <c r="S154" s="652"/>
      <c r="T154" s="652"/>
      <c r="U154" s="652"/>
      <c r="V154" s="652"/>
      <c r="W154" s="652"/>
      <c r="X154" s="652"/>
      <c r="Y154" s="652"/>
      <c r="Z154" s="652"/>
      <c r="AA154" s="652"/>
      <c r="AB154" s="652"/>
      <c r="AC154" s="652"/>
      <c r="AD154" s="652"/>
      <c r="AE154" s="652"/>
      <c r="AF154" s="652"/>
      <c r="AG154" s="652"/>
      <c r="AH154" s="652"/>
      <c r="AI154" s="652"/>
      <c r="AJ154" s="652"/>
      <c r="AK154" s="652"/>
      <c r="AL154" s="652"/>
      <c r="AM154" s="652"/>
    </row>
    <row r="155" spans="1:39" hidden="1" x14ac:dyDescent="0.2">
      <c r="A155" s="652"/>
      <c r="B155" s="652"/>
      <c r="C155" s="652"/>
      <c r="D155" s="652"/>
      <c r="E155" s="652"/>
      <c r="F155" s="652"/>
      <c r="G155" s="652"/>
      <c r="H155" s="652"/>
      <c r="I155" s="652"/>
      <c r="J155" s="652"/>
      <c r="K155" s="652"/>
      <c r="L155" s="652"/>
      <c r="M155" s="652"/>
      <c r="N155" s="652"/>
      <c r="O155" s="652"/>
      <c r="P155" s="652"/>
      <c r="Q155" s="652"/>
      <c r="R155" s="652"/>
      <c r="S155" s="652"/>
      <c r="T155" s="652"/>
      <c r="U155" s="652"/>
      <c r="V155" s="652"/>
      <c r="W155" s="652"/>
      <c r="X155" s="652"/>
      <c r="Y155" s="652"/>
      <c r="Z155" s="652"/>
      <c r="AA155" s="652"/>
      <c r="AB155" s="652"/>
      <c r="AC155" s="652"/>
      <c r="AD155" s="652"/>
      <c r="AE155" s="652"/>
      <c r="AF155" s="652"/>
      <c r="AG155" s="652"/>
      <c r="AH155" s="652"/>
      <c r="AI155" s="652"/>
      <c r="AJ155" s="652"/>
      <c r="AK155" s="652"/>
      <c r="AL155" s="652"/>
      <c r="AM155" s="652"/>
    </row>
    <row r="156" spans="1:39" hidden="1" x14ac:dyDescent="0.2">
      <c r="A156" s="652"/>
      <c r="B156" s="652"/>
      <c r="C156" s="652"/>
      <c r="D156" s="652"/>
      <c r="E156" s="652"/>
      <c r="F156" s="652"/>
      <c r="G156" s="652"/>
      <c r="H156" s="652"/>
      <c r="I156" s="652"/>
      <c r="J156" s="652"/>
      <c r="K156" s="652"/>
      <c r="L156" s="652"/>
      <c r="M156" s="652"/>
      <c r="N156" s="652"/>
      <c r="O156" s="652"/>
      <c r="P156" s="652"/>
      <c r="Q156" s="652"/>
      <c r="R156" s="652"/>
      <c r="S156" s="652"/>
      <c r="T156" s="652"/>
      <c r="U156" s="652"/>
      <c r="V156" s="652"/>
      <c r="W156" s="652"/>
      <c r="X156" s="652"/>
      <c r="Y156" s="652"/>
      <c r="Z156" s="652"/>
      <c r="AA156" s="652"/>
      <c r="AB156" s="652"/>
      <c r="AC156" s="652"/>
      <c r="AD156" s="652"/>
      <c r="AE156" s="652"/>
      <c r="AF156" s="652"/>
      <c r="AG156" s="652"/>
      <c r="AH156" s="652"/>
      <c r="AI156" s="652"/>
      <c r="AJ156" s="652"/>
      <c r="AK156" s="652"/>
      <c r="AL156" s="652"/>
      <c r="AM156" s="652"/>
    </row>
    <row r="157" spans="1:39" hidden="1" x14ac:dyDescent="0.2">
      <c r="A157" s="652"/>
      <c r="B157" s="652"/>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652"/>
      <c r="AK157" s="652"/>
      <c r="AL157" s="652"/>
      <c r="AM157" s="652"/>
    </row>
    <row r="158" spans="1:39" hidden="1" x14ac:dyDescent="0.2">
      <c r="A158" s="652"/>
      <c r="B158" s="652"/>
      <c r="C158" s="652"/>
      <c r="D158" s="652"/>
      <c r="E158" s="652"/>
      <c r="F158" s="652"/>
      <c r="G158" s="652"/>
      <c r="H158" s="652"/>
      <c r="I158" s="652"/>
      <c r="J158" s="652"/>
      <c r="K158" s="652"/>
      <c r="L158" s="652"/>
      <c r="M158" s="652"/>
      <c r="N158" s="652"/>
      <c r="O158" s="652"/>
      <c r="P158" s="652"/>
      <c r="Q158" s="652"/>
      <c r="R158" s="652"/>
      <c r="S158" s="652"/>
      <c r="T158" s="652"/>
      <c r="U158" s="652"/>
      <c r="V158" s="652"/>
      <c r="W158" s="652"/>
      <c r="X158" s="652"/>
      <c r="Y158" s="652"/>
      <c r="Z158" s="652"/>
      <c r="AA158" s="652"/>
      <c r="AB158" s="652"/>
      <c r="AC158" s="652"/>
      <c r="AD158" s="652"/>
      <c r="AE158" s="652"/>
      <c r="AF158" s="652"/>
      <c r="AG158" s="652"/>
      <c r="AH158" s="652"/>
      <c r="AI158" s="652"/>
      <c r="AJ158" s="652"/>
      <c r="AK158" s="652"/>
      <c r="AL158" s="652"/>
      <c r="AM158" s="652"/>
    </row>
    <row r="159" spans="1:39" hidden="1" x14ac:dyDescent="0.2">
      <c r="A159" s="652"/>
      <c r="B159" s="652"/>
      <c r="C159" s="652"/>
      <c r="D159" s="652"/>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652"/>
      <c r="AF159" s="652"/>
      <c r="AG159" s="652"/>
      <c r="AH159" s="652"/>
      <c r="AI159" s="652"/>
      <c r="AJ159" s="652"/>
      <c r="AK159" s="652"/>
      <c r="AL159" s="652"/>
      <c r="AM159" s="652"/>
    </row>
    <row r="160" spans="1:39" hidden="1" x14ac:dyDescent="0.2">
      <c r="A160" s="652"/>
      <c r="B160" s="652"/>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row>
    <row r="161" spans="1:39"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row>
    <row r="162" spans="1:39" hidden="1" x14ac:dyDescent="0.2">
      <c r="A162" s="652"/>
      <c r="B162" s="652"/>
      <c r="C162" s="652"/>
      <c r="D162" s="652"/>
      <c r="E162" s="652"/>
      <c r="F162" s="652"/>
      <c r="G162" s="652"/>
      <c r="H162" s="652"/>
      <c r="I162" s="652"/>
      <c r="J162" s="652"/>
      <c r="K162" s="652"/>
      <c r="L162" s="652"/>
      <c r="M162" s="652"/>
      <c r="N162" s="652"/>
      <c r="O162" s="652"/>
      <c r="P162" s="652"/>
      <c r="Q162" s="652"/>
      <c r="R162" s="652"/>
      <c r="S162" s="652"/>
      <c r="T162" s="652"/>
      <c r="U162" s="652"/>
      <c r="V162" s="652"/>
      <c r="W162" s="652"/>
      <c r="X162" s="652"/>
      <c r="Y162" s="652"/>
      <c r="Z162" s="652"/>
      <c r="AA162" s="652"/>
      <c r="AB162" s="652"/>
      <c r="AC162" s="652"/>
      <c r="AD162" s="652"/>
      <c r="AE162" s="652"/>
      <c r="AF162" s="652"/>
      <c r="AG162" s="652"/>
      <c r="AH162" s="652"/>
      <c r="AI162" s="652"/>
      <c r="AJ162" s="652"/>
      <c r="AK162" s="652"/>
      <c r="AL162" s="652"/>
      <c r="AM162" s="652"/>
    </row>
    <row r="163" spans="1:39" hidden="1" x14ac:dyDescent="0.2">
      <c r="A163" s="652"/>
      <c r="B163" s="652"/>
      <c r="C163" s="652"/>
      <c r="D163" s="652"/>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52"/>
      <c r="AE163" s="652"/>
      <c r="AF163" s="652"/>
      <c r="AG163" s="652"/>
      <c r="AH163" s="652"/>
      <c r="AI163" s="652"/>
      <c r="AJ163" s="652"/>
      <c r="AK163" s="652"/>
      <c r="AL163" s="652"/>
      <c r="AM163" s="652"/>
    </row>
    <row r="164" spans="1:39" hidden="1" x14ac:dyDescent="0.2">
      <c r="A164" s="652"/>
      <c r="B164" s="652"/>
      <c r="C164" s="652"/>
      <c r="D164" s="652"/>
      <c r="E164" s="652"/>
      <c r="F164" s="652"/>
      <c r="G164" s="652"/>
      <c r="H164" s="652"/>
      <c r="I164" s="652"/>
      <c r="J164" s="652"/>
      <c r="K164" s="652"/>
      <c r="L164" s="652"/>
      <c r="M164" s="652"/>
      <c r="N164" s="652"/>
      <c r="O164" s="652"/>
      <c r="P164" s="652"/>
      <c r="Q164" s="652"/>
      <c r="R164" s="652"/>
      <c r="S164" s="652"/>
      <c r="T164" s="652"/>
      <c r="U164" s="652"/>
      <c r="V164" s="652"/>
      <c r="W164" s="652"/>
      <c r="X164" s="652"/>
      <c r="Y164" s="652"/>
      <c r="Z164" s="652"/>
      <c r="AA164" s="652"/>
      <c r="AB164" s="652"/>
      <c r="AC164" s="652"/>
      <c r="AD164" s="652"/>
      <c r="AE164" s="652"/>
      <c r="AF164" s="652"/>
      <c r="AG164" s="652"/>
      <c r="AH164" s="652"/>
      <c r="AI164" s="652"/>
      <c r="AJ164" s="652"/>
      <c r="AK164" s="652"/>
      <c r="AL164" s="652"/>
      <c r="AM164" s="652"/>
    </row>
    <row r="165" spans="1:39" hidden="1" x14ac:dyDescent="0.2">
      <c r="A165" s="652"/>
      <c r="B165" s="652"/>
      <c r="C165" s="652"/>
      <c r="D165" s="652"/>
      <c r="E165" s="652"/>
      <c r="F165" s="652"/>
      <c r="G165" s="652"/>
      <c r="H165" s="652"/>
      <c r="I165" s="652"/>
      <c r="J165" s="652"/>
      <c r="K165" s="652"/>
      <c r="L165" s="652"/>
      <c r="M165" s="652"/>
      <c r="N165" s="652"/>
      <c r="O165" s="652"/>
      <c r="P165" s="652"/>
      <c r="Q165" s="652"/>
      <c r="R165" s="652"/>
      <c r="S165" s="652"/>
      <c r="T165" s="652"/>
      <c r="U165" s="652"/>
      <c r="V165" s="652"/>
      <c r="W165" s="652"/>
      <c r="X165" s="652"/>
      <c r="Y165" s="652"/>
      <c r="Z165" s="652"/>
      <c r="AA165" s="652"/>
      <c r="AB165" s="652"/>
      <c r="AC165" s="652"/>
      <c r="AD165" s="652"/>
      <c r="AE165" s="652"/>
      <c r="AF165" s="652"/>
      <c r="AG165" s="652"/>
      <c r="AH165" s="652"/>
      <c r="AI165" s="652"/>
      <c r="AJ165" s="652"/>
      <c r="AK165" s="652"/>
      <c r="AL165" s="652"/>
      <c r="AM165" s="652"/>
    </row>
    <row r="166" spans="1:39" hidden="1" x14ac:dyDescent="0.2">
      <c r="A166" s="652"/>
      <c r="B166" s="652"/>
      <c r="C166" s="652"/>
      <c r="D166" s="652"/>
      <c r="E166" s="652"/>
      <c r="F166" s="652"/>
      <c r="G166" s="652"/>
      <c r="H166" s="652"/>
      <c r="I166" s="652"/>
      <c r="J166" s="652"/>
      <c r="K166" s="652"/>
      <c r="L166" s="657"/>
      <c r="M166" s="657"/>
      <c r="N166" s="657"/>
      <c r="O166" s="652"/>
      <c r="P166" s="652"/>
      <c r="Q166" s="652"/>
      <c r="R166" s="652"/>
      <c r="S166" s="652"/>
      <c r="T166" s="657"/>
      <c r="U166" s="657"/>
      <c r="V166" s="657"/>
      <c r="W166" s="652"/>
      <c r="X166" s="652"/>
      <c r="Y166" s="652"/>
      <c r="Z166" s="652"/>
      <c r="AA166" s="652"/>
      <c r="AB166" s="652"/>
      <c r="AC166" s="652"/>
      <c r="AD166" s="652"/>
      <c r="AE166" s="652"/>
      <c r="AF166" s="652"/>
      <c r="AG166" s="652"/>
      <c r="AH166" s="652"/>
      <c r="AI166" s="652"/>
      <c r="AJ166" s="652"/>
      <c r="AK166" s="652"/>
      <c r="AL166" s="652"/>
      <c r="AM166" s="652"/>
    </row>
    <row r="167" spans="1:39" hidden="1" x14ac:dyDescent="0.2">
      <c r="A167" s="652"/>
      <c r="B167" s="652"/>
      <c r="C167" s="652"/>
      <c r="D167" s="652"/>
      <c r="E167" s="652"/>
      <c r="F167" s="652"/>
      <c r="G167" s="652"/>
      <c r="H167" s="652"/>
      <c r="I167" s="652"/>
      <c r="J167" s="652"/>
      <c r="K167" s="652"/>
      <c r="L167" s="657"/>
      <c r="M167" s="657"/>
      <c r="N167" s="657"/>
      <c r="O167" s="652"/>
      <c r="P167" s="652"/>
      <c r="Q167" s="652"/>
      <c r="R167" s="652"/>
      <c r="S167" s="652"/>
      <c r="T167" s="657"/>
      <c r="U167" s="657"/>
      <c r="V167" s="657"/>
      <c r="W167" s="652"/>
      <c r="X167" s="652"/>
      <c r="Y167" s="652"/>
      <c r="Z167" s="652"/>
      <c r="AA167" s="652"/>
      <c r="AB167" s="652"/>
      <c r="AC167" s="652"/>
      <c r="AD167" s="652"/>
      <c r="AE167" s="652"/>
      <c r="AF167" s="652"/>
      <c r="AG167" s="652"/>
      <c r="AH167" s="652"/>
      <c r="AI167" s="652"/>
      <c r="AJ167" s="652"/>
      <c r="AK167" s="652"/>
      <c r="AL167" s="652"/>
      <c r="AM167" s="652"/>
    </row>
    <row r="168" spans="1:39" hidden="1" x14ac:dyDescent="0.2">
      <c r="A168" s="652"/>
      <c r="B168" s="652"/>
      <c r="C168" s="652"/>
      <c r="D168" s="652"/>
      <c r="E168" s="652"/>
      <c r="F168" s="652"/>
      <c r="G168" s="652"/>
      <c r="H168" s="652"/>
      <c r="I168" s="652"/>
      <c r="J168" s="652"/>
      <c r="K168" s="652"/>
      <c r="L168" s="657"/>
      <c r="M168" s="657"/>
      <c r="N168" s="657"/>
      <c r="O168" s="652"/>
      <c r="P168" s="652"/>
      <c r="Q168" s="652"/>
      <c r="R168" s="652"/>
      <c r="S168" s="652"/>
      <c r="T168" s="657"/>
      <c r="U168" s="657"/>
      <c r="V168" s="657"/>
      <c r="W168" s="652"/>
      <c r="X168" s="652"/>
      <c r="Y168" s="652"/>
      <c r="Z168" s="652"/>
      <c r="AA168" s="652"/>
      <c r="AB168" s="652"/>
      <c r="AC168" s="652"/>
      <c r="AD168" s="652"/>
      <c r="AE168" s="652"/>
      <c r="AF168" s="652"/>
      <c r="AG168" s="652"/>
      <c r="AH168" s="652"/>
      <c r="AI168" s="652"/>
      <c r="AJ168" s="652"/>
      <c r="AK168" s="652"/>
      <c r="AL168" s="652"/>
      <c r="AM168" s="652"/>
    </row>
    <row r="169" spans="1:39" hidden="1" x14ac:dyDescent="0.2">
      <c r="A169" s="652"/>
      <c r="B169" s="652"/>
      <c r="C169" s="652"/>
      <c r="D169" s="652"/>
      <c r="E169" s="652"/>
      <c r="F169" s="652"/>
      <c r="G169" s="652"/>
      <c r="H169" s="652"/>
      <c r="I169" s="652"/>
      <c r="J169" s="652"/>
      <c r="K169" s="652"/>
      <c r="L169" s="657"/>
      <c r="M169" s="657"/>
      <c r="N169" s="657"/>
      <c r="O169" s="652"/>
      <c r="P169" s="652"/>
      <c r="Q169" s="652"/>
      <c r="R169" s="652"/>
      <c r="S169" s="652"/>
      <c r="T169" s="657"/>
      <c r="U169" s="657"/>
      <c r="V169" s="657"/>
      <c r="W169" s="652"/>
      <c r="X169" s="652"/>
      <c r="Y169" s="652"/>
      <c r="Z169" s="652"/>
      <c r="AA169" s="652"/>
      <c r="AB169" s="652"/>
      <c r="AC169" s="652"/>
      <c r="AD169" s="652"/>
      <c r="AE169" s="652"/>
      <c r="AF169" s="652"/>
      <c r="AG169" s="652"/>
      <c r="AH169" s="652"/>
      <c r="AI169" s="652"/>
      <c r="AJ169" s="652"/>
      <c r="AK169" s="652"/>
      <c r="AL169" s="652"/>
      <c r="AM169" s="652"/>
    </row>
    <row r="170" spans="1:39" hidden="1" x14ac:dyDescent="0.2">
      <c r="A170" s="652"/>
      <c r="B170" s="652"/>
      <c r="C170" s="652"/>
      <c r="D170" s="652"/>
      <c r="E170" s="652"/>
      <c r="F170" s="652"/>
      <c r="G170" s="652"/>
      <c r="H170" s="652"/>
      <c r="I170" s="652"/>
      <c r="J170" s="652"/>
      <c r="K170" s="652"/>
      <c r="L170" s="657"/>
      <c r="M170" s="657"/>
      <c r="N170" s="657"/>
      <c r="O170" s="652"/>
      <c r="P170" s="652"/>
      <c r="Q170" s="652"/>
      <c r="R170" s="652"/>
      <c r="S170" s="652"/>
      <c r="T170" s="657"/>
      <c r="U170" s="657"/>
      <c r="V170" s="657"/>
      <c r="W170" s="652"/>
      <c r="X170" s="652"/>
      <c r="Y170" s="652"/>
      <c r="Z170" s="652"/>
      <c r="AA170" s="652"/>
      <c r="AB170" s="652"/>
      <c r="AC170" s="652"/>
      <c r="AD170" s="652"/>
      <c r="AE170" s="652"/>
      <c r="AF170" s="652"/>
      <c r="AG170" s="652"/>
      <c r="AH170" s="652"/>
      <c r="AI170" s="652"/>
      <c r="AJ170" s="652"/>
      <c r="AK170" s="652"/>
      <c r="AL170" s="652"/>
      <c r="AM170" s="652"/>
    </row>
    <row r="171" spans="1:39" hidden="1" x14ac:dyDescent="0.2">
      <c r="A171" s="652"/>
      <c r="B171" s="652"/>
      <c r="C171" s="652"/>
      <c r="D171" s="652"/>
      <c r="E171" s="652"/>
      <c r="F171" s="652"/>
      <c r="G171" s="652"/>
      <c r="H171" s="652"/>
      <c r="I171" s="652"/>
      <c r="J171" s="652"/>
      <c r="K171" s="652"/>
      <c r="L171" s="657"/>
      <c r="M171" s="657"/>
      <c r="N171" s="657"/>
      <c r="O171" s="652"/>
      <c r="P171" s="652"/>
      <c r="Q171" s="652"/>
      <c r="R171" s="652"/>
      <c r="S171" s="652"/>
      <c r="T171" s="657"/>
      <c r="U171" s="657"/>
      <c r="V171" s="657"/>
      <c r="W171" s="652"/>
      <c r="X171" s="652"/>
      <c r="Y171" s="652"/>
      <c r="Z171" s="652"/>
      <c r="AA171" s="652"/>
      <c r="AB171" s="652"/>
      <c r="AC171" s="652"/>
      <c r="AD171" s="652"/>
      <c r="AE171" s="652"/>
      <c r="AF171" s="652"/>
      <c r="AG171" s="652"/>
      <c r="AH171" s="652"/>
      <c r="AI171" s="652"/>
      <c r="AJ171" s="652"/>
      <c r="AK171" s="652"/>
      <c r="AL171" s="652"/>
      <c r="AM171" s="652"/>
    </row>
    <row r="172" spans="1:39" hidden="1" x14ac:dyDescent="0.2">
      <c r="A172" s="652"/>
      <c r="B172" s="652"/>
      <c r="C172" s="652"/>
      <c r="D172" s="652"/>
      <c r="E172" s="652"/>
      <c r="F172" s="652"/>
      <c r="G172" s="652"/>
      <c r="H172" s="652"/>
      <c r="I172" s="652"/>
      <c r="J172" s="652"/>
      <c r="K172" s="652"/>
      <c r="L172" s="657"/>
      <c r="M172" s="657"/>
      <c r="N172" s="657"/>
      <c r="O172" s="652"/>
      <c r="P172" s="652"/>
      <c r="Q172" s="652"/>
      <c r="R172" s="652"/>
      <c r="S172" s="652"/>
      <c r="T172" s="657"/>
      <c r="U172" s="657"/>
      <c r="V172" s="657"/>
      <c r="W172" s="652"/>
      <c r="X172" s="652"/>
      <c r="Y172" s="652"/>
      <c r="Z172" s="652"/>
      <c r="AA172" s="652"/>
      <c r="AB172" s="652"/>
      <c r="AC172" s="652"/>
      <c r="AD172" s="652"/>
      <c r="AE172" s="652"/>
      <c r="AF172" s="652"/>
      <c r="AG172" s="652"/>
      <c r="AH172" s="652"/>
      <c r="AI172" s="652"/>
      <c r="AJ172" s="652"/>
      <c r="AK172" s="652"/>
      <c r="AL172" s="652"/>
      <c r="AM172" s="652"/>
    </row>
    <row r="173" spans="1:39" hidden="1" x14ac:dyDescent="0.2">
      <c r="A173" s="652"/>
      <c r="B173" s="652"/>
      <c r="C173" s="652"/>
      <c r="D173" s="652"/>
      <c r="E173" s="652"/>
      <c r="F173" s="652"/>
      <c r="G173" s="652"/>
      <c r="H173" s="652"/>
      <c r="I173" s="652"/>
      <c r="J173" s="652"/>
      <c r="K173" s="652"/>
      <c r="L173" s="657"/>
      <c r="M173" s="657"/>
      <c r="N173" s="657"/>
      <c r="O173" s="652"/>
      <c r="P173" s="652"/>
      <c r="Q173" s="652"/>
      <c r="R173" s="652"/>
      <c r="S173" s="652"/>
      <c r="T173" s="657"/>
      <c r="U173" s="657"/>
      <c r="V173" s="657"/>
      <c r="W173" s="652"/>
      <c r="X173" s="652"/>
      <c r="Y173" s="652"/>
      <c r="Z173" s="652"/>
      <c r="AA173" s="652"/>
      <c r="AB173" s="652"/>
      <c r="AC173" s="652"/>
      <c r="AD173" s="652"/>
      <c r="AE173" s="652"/>
      <c r="AF173" s="652"/>
      <c r="AG173" s="652"/>
      <c r="AH173" s="652"/>
      <c r="AI173" s="652"/>
      <c r="AJ173" s="652"/>
      <c r="AK173" s="652"/>
      <c r="AL173" s="652"/>
      <c r="AM173" s="652"/>
    </row>
    <row r="174" spans="1:39"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652"/>
      <c r="AF174" s="652"/>
      <c r="AG174" s="652"/>
      <c r="AH174" s="652"/>
      <c r="AI174" s="652"/>
      <c r="AJ174" s="652"/>
      <c r="AK174" s="652"/>
      <c r="AL174" s="652"/>
      <c r="AM174" s="652"/>
    </row>
    <row r="175" spans="1:39"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652"/>
      <c r="AF175" s="652"/>
      <c r="AG175" s="652"/>
      <c r="AH175" s="652"/>
      <c r="AI175" s="652"/>
      <c r="AJ175" s="652"/>
      <c r="AK175" s="652"/>
      <c r="AL175" s="652"/>
      <c r="AM175" s="652"/>
    </row>
    <row r="176" spans="1:39"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c r="AI284" s="652"/>
      <c r="AJ284" s="652"/>
      <c r="AK284" s="652"/>
      <c r="AL284" s="652"/>
      <c r="AM284" s="652"/>
    </row>
    <row r="285" spans="1:39"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c r="AH285" s="652"/>
      <c r="AI285" s="652"/>
      <c r="AJ285" s="652"/>
      <c r="AK285" s="652"/>
      <c r="AL285" s="652"/>
      <c r="AM285" s="652"/>
    </row>
    <row r="286" spans="1:39" hidden="1" x14ac:dyDescent="0.2">
      <c r="A286" s="652"/>
      <c r="B286" s="652"/>
      <c r="C286" s="652"/>
      <c r="D286" s="652"/>
      <c r="E286" s="652"/>
      <c r="F286" s="652"/>
      <c r="G286" s="652"/>
      <c r="H286" s="652"/>
      <c r="I286" s="652"/>
      <c r="J286" s="652"/>
      <c r="K286" s="652"/>
      <c r="L286" s="657"/>
      <c r="M286" s="657"/>
      <c r="N286" s="657"/>
      <c r="O286" s="652"/>
      <c r="P286" s="652"/>
      <c r="Q286" s="652"/>
      <c r="R286" s="652"/>
      <c r="S286" s="652"/>
      <c r="T286" s="657"/>
      <c r="U286" s="657"/>
      <c r="V286" s="657"/>
      <c r="W286" s="652"/>
      <c r="X286" s="652"/>
      <c r="Y286" s="652"/>
      <c r="Z286" s="652"/>
      <c r="AA286" s="652"/>
      <c r="AB286" s="652"/>
      <c r="AC286" s="652"/>
      <c r="AD286" s="652"/>
      <c r="AE286" s="652"/>
      <c r="AF286" s="652"/>
      <c r="AG286" s="652"/>
      <c r="AH286" s="652"/>
      <c r="AI286" s="652"/>
      <c r="AJ286" s="652"/>
      <c r="AK286" s="652"/>
      <c r="AL286" s="652"/>
      <c r="AM286" s="652"/>
    </row>
    <row r="287" spans="1:39" hidden="1" x14ac:dyDescent="0.2">
      <c r="A287" s="652"/>
      <c r="B287" s="652"/>
      <c r="C287" s="652"/>
      <c r="D287" s="652"/>
      <c r="E287" s="652"/>
      <c r="F287" s="652"/>
      <c r="G287" s="652"/>
      <c r="H287" s="652"/>
      <c r="I287" s="652"/>
      <c r="J287" s="652"/>
      <c r="K287" s="652"/>
      <c r="L287" s="657"/>
      <c r="M287" s="657"/>
      <c r="N287" s="657"/>
      <c r="O287" s="652"/>
      <c r="P287" s="652"/>
      <c r="Q287" s="652"/>
      <c r="R287" s="652"/>
      <c r="S287" s="652"/>
      <c r="T287" s="657"/>
      <c r="U287" s="657"/>
      <c r="V287" s="657"/>
      <c r="W287" s="652"/>
      <c r="X287" s="652"/>
      <c r="Y287" s="652"/>
      <c r="Z287" s="652"/>
      <c r="AA287" s="652"/>
      <c r="AB287" s="652"/>
      <c r="AC287" s="652"/>
      <c r="AD287" s="652"/>
      <c r="AE287" s="652"/>
      <c r="AF287" s="652"/>
      <c r="AG287" s="652"/>
      <c r="AH287" s="652"/>
      <c r="AI287" s="652"/>
      <c r="AJ287" s="652"/>
      <c r="AK287" s="652"/>
      <c r="AL287" s="652"/>
      <c r="AM287" s="652"/>
    </row>
    <row r="288" spans="1:39" hidden="1" x14ac:dyDescent="0.2">
      <c r="A288" s="652"/>
      <c r="B288" s="652"/>
      <c r="C288" s="652"/>
      <c r="D288" s="652"/>
      <c r="E288" s="652"/>
      <c r="F288" s="652"/>
      <c r="G288" s="652"/>
      <c r="H288" s="652"/>
      <c r="I288" s="652"/>
      <c r="J288" s="652"/>
      <c r="K288" s="652"/>
      <c r="L288" s="657"/>
      <c r="M288" s="657"/>
      <c r="N288" s="657"/>
      <c r="O288" s="652"/>
      <c r="P288" s="652"/>
      <c r="Q288" s="652"/>
      <c r="R288" s="652"/>
      <c r="S288" s="652"/>
      <c r="T288" s="657"/>
      <c r="U288" s="657"/>
      <c r="V288" s="657"/>
      <c r="W288" s="652"/>
      <c r="X288" s="652"/>
      <c r="Y288" s="652"/>
      <c r="Z288" s="652"/>
      <c r="AA288" s="652"/>
      <c r="AB288" s="652"/>
      <c r="AC288" s="652"/>
      <c r="AD288" s="652"/>
      <c r="AE288" s="652"/>
      <c r="AF288" s="652"/>
      <c r="AG288" s="652"/>
      <c r="AH288" s="652"/>
      <c r="AI288" s="652"/>
      <c r="AJ288" s="652"/>
      <c r="AK288" s="652"/>
      <c r="AL288" s="652"/>
      <c r="AM288" s="652"/>
    </row>
    <row r="289" spans="1:39" hidden="1" x14ac:dyDescent="0.2">
      <c r="G289" s="652"/>
      <c r="H289" s="652"/>
      <c r="I289" s="652"/>
      <c r="J289" s="652"/>
      <c r="K289" s="652"/>
      <c r="L289" s="652"/>
      <c r="M289" s="652"/>
      <c r="N289" s="652"/>
      <c r="O289" s="652"/>
      <c r="P289" s="652"/>
      <c r="Q289" s="652"/>
      <c r="R289" s="652"/>
      <c r="S289" s="652"/>
      <c r="T289" s="652"/>
      <c r="U289" s="652"/>
      <c r="V289" s="652"/>
      <c r="W289" s="652"/>
      <c r="X289" s="652"/>
      <c r="Y289" s="652"/>
      <c r="Z289" s="652"/>
      <c r="AA289" s="652"/>
      <c r="AB289" s="652"/>
      <c r="AC289" s="652"/>
      <c r="AD289" s="652"/>
      <c r="AE289" s="652"/>
      <c r="AF289" s="652"/>
      <c r="AG289" s="652"/>
      <c r="AH289" s="652"/>
      <c r="AI289" s="652"/>
      <c r="AJ289" s="652"/>
      <c r="AK289" s="652"/>
      <c r="AL289" s="652"/>
      <c r="AM289" s="652"/>
    </row>
    <row r="290" spans="1:39" hidden="1" x14ac:dyDescent="0.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c r="AI290" s="652"/>
      <c r="AJ290" s="652"/>
      <c r="AK290" s="652"/>
      <c r="AL290" s="652"/>
      <c r="AM290" s="652"/>
    </row>
    <row r="291" spans="1:39" hidden="1" x14ac:dyDescent="0.2">
      <c r="G291" s="652"/>
      <c r="H291" s="652"/>
      <c r="I291" s="652"/>
      <c r="J291" s="652"/>
      <c r="K291" s="652"/>
      <c r="L291" s="652"/>
      <c r="M291" s="652"/>
      <c r="N291" s="652"/>
      <c r="O291" s="652"/>
      <c r="P291" s="652"/>
      <c r="Q291" s="652"/>
      <c r="R291" s="652"/>
      <c r="S291" s="652"/>
      <c r="T291" s="652"/>
      <c r="U291" s="652"/>
      <c r="V291" s="652"/>
      <c r="W291" s="703"/>
      <c r="X291" s="652"/>
      <c r="Y291" s="652"/>
      <c r="Z291" s="652"/>
      <c r="AA291" s="652"/>
      <c r="AB291" s="652"/>
      <c r="AC291" s="652"/>
      <c r="AD291" s="652"/>
      <c r="AE291" s="652"/>
      <c r="AF291" s="652"/>
      <c r="AG291" s="652"/>
      <c r="AH291" s="652"/>
      <c r="AI291" s="652"/>
      <c r="AJ291" s="652"/>
      <c r="AK291" s="652"/>
      <c r="AL291" s="652"/>
      <c r="AM291" s="652"/>
    </row>
    <row r="292" spans="1:39" hidden="1" x14ac:dyDescent="0.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652"/>
      <c r="AF292" s="652"/>
      <c r="AG292" s="652"/>
      <c r="AH292" s="652"/>
      <c r="AI292" s="652"/>
      <c r="AJ292" s="652"/>
      <c r="AK292" s="652"/>
      <c r="AL292" s="652"/>
      <c r="AM292" s="652"/>
    </row>
    <row r="293" spans="1:39" hidden="1" x14ac:dyDescent="0.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652"/>
      <c r="AI293" s="652"/>
      <c r="AJ293" s="652"/>
      <c r="AK293" s="652"/>
      <c r="AL293" s="652"/>
      <c r="AM293" s="652"/>
    </row>
    <row r="294" spans="1:39" hidden="1" x14ac:dyDescent="0.2">
      <c r="G294" s="652"/>
      <c r="H294" s="652"/>
      <c r="I294" s="652"/>
      <c r="J294" s="652"/>
      <c r="K294" s="652"/>
      <c r="L294" s="652"/>
      <c r="M294" s="652"/>
      <c r="N294" s="652"/>
      <c r="O294" s="652"/>
      <c r="P294" s="652"/>
      <c r="Q294" s="652"/>
      <c r="R294" s="652"/>
      <c r="S294" s="652"/>
      <c r="T294" s="652"/>
      <c r="U294" s="652"/>
      <c r="V294" s="652"/>
      <c r="W294" s="652"/>
      <c r="X294" s="652"/>
      <c r="Y294" s="652"/>
      <c r="Z294" s="652"/>
      <c r="AA294" s="652"/>
      <c r="AB294" s="652"/>
      <c r="AC294" s="652"/>
      <c r="AD294" s="652"/>
      <c r="AE294" s="652"/>
      <c r="AF294" s="652"/>
      <c r="AG294" s="652"/>
      <c r="AH294" s="652"/>
      <c r="AI294" s="652"/>
      <c r="AJ294" s="652"/>
      <c r="AK294" s="652"/>
      <c r="AL294" s="652"/>
      <c r="AM294" s="652"/>
    </row>
    <row r="295" spans="1:39" hidden="1" x14ac:dyDescent="0.2">
      <c r="G295" s="652"/>
      <c r="H295" s="652"/>
      <c r="I295" s="65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652"/>
      <c r="AF295" s="652"/>
      <c r="AG295" s="652"/>
      <c r="AH295" s="652"/>
      <c r="AI295" s="652"/>
      <c r="AJ295" s="652"/>
      <c r="AK295" s="652"/>
      <c r="AL295" s="652"/>
      <c r="AM295" s="652"/>
    </row>
    <row r="296" spans="1:39" hidden="1" x14ac:dyDescent="0.2">
      <c r="G296" s="652"/>
      <c r="H296" s="652"/>
      <c r="I296" s="652"/>
      <c r="J296" s="652"/>
      <c r="K296" s="652"/>
      <c r="L296" s="652"/>
      <c r="M296" s="652"/>
      <c r="N296" s="652"/>
      <c r="O296" s="652"/>
      <c r="P296" s="652"/>
      <c r="Q296" s="652"/>
      <c r="R296" s="652"/>
      <c r="S296" s="652"/>
      <c r="T296" s="652"/>
      <c r="U296" s="652"/>
      <c r="V296" s="652"/>
      <c r="W296" s="703"/>
      <c r="X296" s="652"/>
      <c r="Y296" s="652"/>
      <c r="Z296" s="652"/>
      <c r="AA296" s="652"/>
      <c r="AB296" s="652"/>
      <c r="AC296" s="652"/>
      <c r="AD296" s="652"/>
      <c r="AE296" s="652"/>
      <c r="AF296" s="652"/>
      <c r="AG296" s="652"/>
      <c r="AH296" s="652"/>
      <c r="AI296" s="652"/>
      <c r="AJ296" s="652"/>
      <c r="AK296" s="652"/>
      <c r="AL296" s="652"/>
      <c r="AM296" s="652"/>
    </row>
    <row r="297" spans="1:39" hidden="1" x14ac:dyDescent="0.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652"/>
      <c r="AF297" s="652"/>
      <c r="AG297" s="652"/>
      <c r="AH297" s="652"/>
      <c r="AI297" s="652"/>
      <c r="AJ297" s="652"/>
      <c r="AK297" s="652"/>
      <c r="AL297" s="652"/>
      <c r="AM297" s="652"/>
    </row>
    <row r="298" spans="1:39" x14ac:dyDescent="0.2">
      <c r="G298" s="652"/>
      <c r="H298" s="652"/>
      <c r="I298" s="652"/>
      <c r="J298" s="652"/>
      <c r="K298" s="652"/>
      <c r="L298" s="652"/>
      <c r="M298" s="652"/>
      <c r="N298" s="652"/>
      <c r="O298" s="652"/>
      <c r="P298" s="652"/>
      <c r="Q298" s="652"/>
      <c r="R298" s="652"/>
      <c r="S298" s="652"/>
      <c r="T298" s="652"/>
      <c r="U298" s="652"/>
      <c r="V298" s="652"/>
      <c r="W298" s="652"/>
      <c r="X298" s="652"/>
      <c r="Y298" s="652"/>
      <c r="Z298" s="652"/>
      <c r="AA298" s="652"/>
      <c r="AB298" s="652"/>
      <c r="AC298" s="652"/>
      <c r="AD298" s="652"/>
      <c r="AE298" s="652"/>
      <c r="AF298" s="652"/>
      <c r="AG298" s="652"/>
      <c r="AH298" s="652"/>
      <c r="AI298" s="652"/>
      <c r="AJ298" s="652"/>
      <c r="AK298" s="652"/>
      <c r="AL298" s="652"/>
      <c r="AM298" s="652"/>
    </row>
    <row r="299" spans="1:39" x14ac:dyDescent="0.2">
      <c r="A299" s="652"/>
      <c r="B299" s="652"/>
      <c r="C299" s="697" t="s">
        <v>182</v>
      </c>
      <c r="D299" s="698"/>
      <c r="E299" s="698"/>
      <c r="F299" s="698" t="s">
        <v>199</v>
      </c>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c r="AH299" s="652"/>
      <c r="AI299" s="652"/>
      <c r="AJ299" s="652"/>
      <c r="AK299" s="652"/>
      <c r="AL299" s="652"/>
      <c r="AM299" s="652"/>
    </row>
    <row r="300" spans="1:39" ht="25.5" x14ac:dyDescent="0.2">
      <c r="A300" s="699">
        <v>1</v>
      </c>
      <c r="B300" s="700" t="str">
        <f t="shared" ref="B300:B313" si="10">IFERROR(INDEX(B$1:B$90,MATCH(A300,A$1:A$90,0)),"")</f>
        <v>Karoliina Sild, Kenneth Muusikus, Tõnis Neiland</v>
      </c>
      <c r="C300" s="701">
        <f t="shared" ref="C300:C313" si="11">IF(21-A300&gt;0,IF(OR(A300=A301,A299=A300),21-A300-0.5,21-A300),1)</f>
        <v>20</v>
      </c>
      <c r="D300" s="702"/>
      <c r="E300" s="702"/>
      <c r="F300" s="711">
        <v>4.5</v>
      </c>
      <c r="G300" s="652"/>
      <c r="H300" s="652"/>
      <c r="I300" s="652"/>
      <c r="J300" s="652"/>
      <c r="K300" s="652"/>
      <c r="L300" s="652"/>
      <c r="M300" s="652"/>
      <c r="N300" s="652"/>
      <c r="O300" s="652"/>
      <c r="P300" s="652"/>
      <c r="Q300" s="652"/>
      <c r="R300" s="652"/>
      <c r="S300" s="652"/>
      <c r="T300" s="652"/>
      <c r="U300" s="652"/>
      <c r="V300" s="652"/>
      <c r="W300" s="652"/>
      <c r="X300" s="652"/>
      <c r="Y300" s="652"/>
      <c r="Z300" s="652"/>
      <c r="AA300" s="652"/>
      <c r="AB300" s="652"/>
      <c r="AC300" s="652"/>
      <c r="AD300" s="652"/>
      <c r="AE300" s="652"/>
      <c r="AF300" s="652"/>
      <c r="AG300" s="652"/>
      <c r="AH300" s="652"/>
      <c r="AI300" s="652"/>
      <c r="AJ300" s="652"/>
      <c r="AK300" s="652"/>
      <c r="AL300" s="652"/>
      <c r="AM300" s="652"/>
    </row>
    <row r="301" spans="1:39" x14ac:dyDescent="0.2">
      <c r="A301" s="699">
        <v>2</v>
      </c>
      <c r="B301" s="700" t="str">
        <f t="shared" si="10"/>
        <v>Oksana Rõndenkova, Oleg Rõndenkov</v>
      </c>
      <c r="C301" s="701">
        <f t="shared" si="11"/>
        <v>19</v>
      </c>
      <c r="D301" s="653"/>
      <c r="E301" s="653"/>
      <c r="F301" s="711">
        <v>4</v>
      </c>
      <c r="G301" s="652"/>
      <c r="H301" s="652"/>
      <c r="I301" s="652"/>
      <c r="J301" s="652"/>
      <c r="K301" s="652"/>
      <c r="L301" s="652"/>
      <c r="M301" s="652"/>
      <c r="N301" s="652"/>
      <c r="O301" s="652"/>
      <c r="P301" s="652"/>
      <c r="Q301" s="652"/>
      <c r="R301" s="652"/>
      <c r="S301" s="652"/>
      <c r="T301" s="652"/>
      <c r="U301" s="652"/>
      <c r="V301" s="652"/>
      <c r="W301" s="652"/>
      <c r="X301" s="652"/>
      <c r="Y301" s="652"/>
      <c r="Z301" s="652"/>
      <c r="AA301" s="652"/>
      <c r="AB301" s="652"/>
      <c r="AC301" s="652"/>
      <c r="AD301" s="652"/>
      <c r="AE301" s="652"/>
      <c r="AF301" s="652"/>
      <c r="AG301" s="652"/>
      <c r="AH301" s="652"/>
      <c r="AI301" s="652"/>
      <c r="AJ301" s="652"/>
      <c r="AK301" s="652"/>
      <c r="AL301" s="652"/>
      <c r="AM301" s="652"/>
    </row>
    <row r="302" spans="1:39" x14ac:dyDescent="0.2">
      <c r="A302" s="699">
        <v>3</v>
      </c>
      <c r="B302" s="700" t="str">
        <f t="shared" si="10"/>
        <v>Mait Metsla, Matti Vinni</v>
      </c>
      <c r="C302" s="701">
        <f t="shared" si="11"/>
        <v>18</v>
      </c>
      <c r="D302" s="653"/>
      <c r="E302" s="653"/>
      <c r="F302" s="711">
        <v>3.5</v>
      </c>
      <c r="G302" s="652"/>
      <c r="H302" s="652"/>
      <c r="I302" s="652"/>
      <c r="J302" s="652"/>
      <c r="K302" s="652"/>
      <c r="L302" s="652"/>
      <c r="M302" s="652"/>
      <c r="N302" s="652"/>
      <c r="O302" s="652"/>
      <c r="P302" s="652"/>
      <c r="Q302" s="652"/>
      <c r="R302" s="652"/>
      <c r="S302" s="652"/>
      <c r="T302" s="652"/>
      <c r="U302" s="652"/>
      <c r="V302" s="652"/>
      <c r="W302" s="652"/>
      <c r="X302" s="652"/>
      <c r="Y302" s="652"/>
      <c r="Z302" s="652"/>
      <c r="AA302" s="652"/>
      <c r="AB302" s="652"/>
      <c r="AC302" s="652"/>
      <c r="AD302" s="652"/>
      <c r="AE302" s="652"/>
      <c r="AF302" s="652"/>
      <c r="AG302" s="652"/>
      <c r="AH302" s="652"/>
      <c r="AI302" s="652"/>
      <c r="AJ302" s="652"/>
      <c r="AK302" s="652"/>
      <c r="AL302" s="652"/>
      <c r="AM302" s="652"/>
    </row>
    <row r="303" spans="1:39" x14ac:dyDescent="0.2">
      <c r="A303" s="699">
        <v>4</v>
      </c>
      <c r="B303" s="700" t="str">
        <f t="shared" si="10"/>
        <v>Aarne Välja, Janek Tarto</v>
      </c>
      <c r="C303" s="701">
        <f t="shared" si="11"/>
        <v>17</v>
      </c>
      <c r="D303" s="653"/>
      <c r="E303" s="653"/>
      <c r="F303" s="711">
        <v>3</v>
      </c>
    </row>
    <row r="304" spans="1:39" x14ac:dyDescent="0.2">
      <c r="A304" s="699">
        <v>5</v>
      </c>
      <c r="B304" s="700" t="str">
        <f t="shared" si="10"/>
        <v>Andrei Grintšak, Boriss Klubov</v>
      </c>
      <c r="C304" s="701">
        <f t="shared" si="11"/>
        <v>16</v>
      </c>
      <c r="D304" s="653"/>
      <c r="E304" s="653"/>
      <c r="F304" s="711">
        <v>3</v>
      </c>
    </row>
    <row r="305" spans="1:6" x14ac:dyDescent="0.2">
      <c r="A305" s="699">
        <v>6</v>
      </c>
      <c r="B305" s="700" t="str">
        <f t="shared" si="10"/>
        <v>Argo Sepp, Karla Purgats</v>
      </c>
      <c r="C305" s="701">
        <f t="shared" si="11"/>
        <v>15</v>
      </c>
      <c r="D305" s="653"/>
      <c r="E305" s="653"/>
      <c r="F305" s="711">
        <v>3</v>
      </c>
    </row>
    <row r="306" spans="1:6" x14ac:dyDescent="0.2">
      <c r="A306" s="699">
        <v>7</v>
      </c>
      <c r="B306" s="700" t="str">
        <f t="shared" si="10"/>
        <v>Andres Veski, Svetlana Veski</v>
      </c>
      <c r="C306" s="701">
        <f t="shared" si="11"/>
        <v>14</v>
      </c>
      <c r="D306" s="653"/>
      <c r="E306" s="653"/>
      <c r="F306" s="711">
        <v>2.5</v>
      </c>
    </row>
    <row r="307" spans="1:6" x14ac:dyDescent="0.2">
      <c r="A307" s="699">
        <v>8</v>
      </c>
      <c r="B307" s="700" t="str">
        <f t="shared" si="10"/>
        <v>Elmo Lageda, Tõnu Piik</v>
      </c>
      <c r="C307" s="701">
        <f t="shared" si="11"/>
        <v>13</v>
      </c>
      <c r="D307" s="653"/>
      <c r="E307" s="653"/>
      <c r="F307" s="711">
        <v>2</v>
      </c>
    </row>
    <row r="308" spans="1:6" x14ac:dyDescent="0.2">
      <c r="A308" s="699">
        <v>9</v>
      </c>
      <c r="B308" s="700" t="str">
        <f t="shared" si="10"/>
        <v>Tõnu Kapper, Vladimir Ogneštšikov</v>
      </c>
      <c r="C308" s="701">
        <f t="shared" si="11"/>
        <v>12</v>
      </c>
      <c r="D308" s="653"/>
      <c r="E308" s="653"/>
      <c r="F308" s="711">
        <v>2</v>
      </c>
    </row>
    <row r="309" spans="1:6" x14ac:dyDescent="0.2">
      <c r="A309" s="699">
        <v>10</v>
      </c>
      <c r="B309" s="700" t="str">
        <f t="shared" si="10"/>
        <v>Jaan Sepp, Oskar Sepp</v>
      </c>
      <c r="C309" s="701">
        <f t="shared" si="11"/>
        <v>11</v>
      </c>
      <c r="D309" s="653"/>
      <c r="E309" s="653"/>
      <c r="F309" s="652">
        <v>2</v>
      </c>
    </row>
    <row r="310" spans="1:6" x14ac:dyDescent="0.2">
      <c r="A310" s="699">
        <v>11</v>
      </c>
      <c r="B310" s="700" t="str">
        <f t="shared" si="10"/>
        <v>Illar Tõnurist, Jaan Saar</v>
      </c>
      <c r="C310" s="701">
        <f t="shared" si="11"/>
        <v>10</v>
      </c>
      <c r="D310" s="652"/>
      <c r="E310" s="652"/>
      <c r="F310" s="652">
        <v>2</v>
      </c>
    </row>
    <row r="311" spans="1:6" x14ac:dyDescent="0.2">
      <c r="A311" s="699">
        <v>12</v>
      </c>
      <c r="B311" s="700" t="str">
        <f t="shared" si="10"/>
        <v>Aigi Orro, Väino Aul</v>
      </c>
      <c r="C311" s="701">
        <f t="shared" si="11"/>
        <v>9</v>
      </c>
      <c r="D311" s="652"/>
      <c r="E311" s="652"/>
      <c r="F311" s="652">
        <v>1.5</v>
      </c>
    </row>
    <row r="312" spans="1:6" x14ac:dyDescent="0.2">
      <c r="A312" s="699">
        <v>13</v>
      </c>
      <c r="B312" s="700" t="str">
        <f t="shared" si="10"/>
        <v>Enn Tokman, Tarmo Bombe</v>
      </c>
      <c r="C312" s="701">
        <f t="shared" si="11"/>
        <v>8</v>
      </c>
      <c r="D312" s="652"/>
      <c r="E312" s="652"/>
      <c r="F312" s="652">
        <v>1</v>
      </c>
    </row>
    <row r="313" spans="1:6" x14ac:dyDescent="0.2">
      <c r="A313" s="699">
        <v>14</v>
      </c>
      <c r="B313" s="700" t="str">
        <f t="shared" si="10"/>
        <v>Meelis Luud, Sander Rose</v>
      </c>
      <c r="C313" s="701">
        <f t="shared" si="11"/>
        <v>7</v>
      </c>
      <c r="F313" s="653">
        <v>1</v>
      </c>
    </row>
  </sheetData>
  <conditionalFormatting sqref="C8:C21">
    <cfRule type="expression" dxfId="523" priority="18">
      <formula>IF($C8&gt;$E8,TRUE)</formula>
    </cfRule>
  </conditionalFormatting>
  <conditionalFormatting sqref="E8:E21">
    <cfRule type="expression" dxfId="522" priority="19">
      <formula>IF($C8&lt;$E8,TRUE)</formula>
    </cfRule>
  </conditionalFormatting>
  <conditionalFormatting sqref="K8:K21">
    <cfRule type="expression" dxfId="521" priority="26">
      <formula>IF($K8&gt;$M8,TRUE)</formula>
    </cfRule>
  </conditionalFormatting>
  <conditionalFormatting sqref="M8:M21">
    <cfRule type="expression" dxfId="520" priority="27">
      <formula>IF($K8&lt;$M8,TRUE)</formula>
    </cfRule>
  </conditionalFormatting>
  <conditionalFormatting sqref="O8:O21">
    <cfRule type="expression" dxfId="519" priority="30">
      <formula>IF($O8&gt;$Q8,TRUE)</formula>
    </cfRule>
  </conditionalFormatting>
  <conditionalFormatting sqref="Q8:Q21">
    <cfRule type="expression" dxfId="518" priority="31">
      <formula>IF($O8&lt;$Q8,TRUE)</formula>
    </cfRule>
  </conditionalFormatting>
  <conditionalFormatting sqref="S8:S21">
    <cfRule type="expression" dxfId="517" priority="34">
      <formula>IF($S8&gt;$U8,TRUE)</formula>
    </cfRule>
  </conditionalFormatting>
  <conditionalFormatting sqref="U8:U21">
    <cfRule type="expression" dxfId="516" priority="35">
      <formula>IF($S8&lt;$U8,TRUE)</formula>
    </cfRule>
  </conditionalFormatting>
  <conditionalFormatting sqref="G8:G21">
    <cfRule type="expression" dxfId="515" priority="22">
      <formula>IF($G8&gt;$I8,TRUE)</formula>
    </cfRule>
  </conditionalFormatting>
  <conditionalFormatting sqref="I8:I21">
    <cfRule type="expression" dxfId="514" priority="23">
      <formula>IF($G8&lt;$I8,TRUE)</formula>
    </cfRule>
  </conditionalFormatting>
  <conditionalFormatting sqref="F8:F21">
    <cfRule type="containsText" dxfId="513" priority="9" operator="containsText" text="vaba voor">
      <formula>NOT(ISERROR(SEARCH("vaba voor",F8)))</formula>
    </cfRule>
  </conditionalFormatting>
  <conditionalFormatting sqref="N8:N21">
    <cfRule type="containsText" dxfId="512" priority="7" operator="containsText" text="vaba voor">
      <formula>NOT(ISERROR(SEARCH("vaba voor",N8)))</formula>
    </cfRule>
  </conditionalFormatting>
  <conditionalFormatting sqref="R8:R21">
    <cfRule type="containsText" dxfId="511" priority="10" operator="containsText" text="vaba voor">
      <formula>NOT(ISERROR(SEARCH("vaba voor",R8)))</formula>
    </cfRule>
  </conditionalFormatting>
  <conditionalFormatting sqref="V8:V21">
    <cfRule type="containsText" dxfId="510" priority="6" operator="containsText" text="vaba voor">
      <formula>NOT(ISERROR(SEARCH("vaba voor",V8)))</formula>
    </cfRule>
  </conditionalFormatting>
  <conditionalFormatting sqref="J8:J21">
    <cfRule type="containsText" dxfId="509" priority="8" operator="containsText" text="vaba voor">
      <formula>NOT(ISERROR(SEARCH("vaba voor",J8)))</formula>
    </cfRule>
  </conditionalFormatting>
  <conditionalFormatting sqref="C8:F21">
    <cfRule type="expression" dxfId="508" priority="14">
      <formula>IF(AND(ISNUMBER($C8),$C8=$E8),TRUE)</formula>
    </cfRule>
    <cfRule type="expression" dxfId="507" priority="16">
      <formula>IF($C8&gt;$E8,TRUE)</formula>
    </cfRule>
    <cfRule type="expression" dxfId="506" priority="17">
      <formula>IF($C8&lt;$E8,TRUE)</formula>
    </cfRule>
  </conditionalFormatting>
  <conditionalFormatting sqref="G8:J21">
    <cfRule type="expression" dxfId="505" priority="15">
      <formula>IF(AND(ISNUMBER($G8),$G8=$I8),TRUE)</formula>
    </cfRule>
    <cfRule type="expression" dxfId="504" priority="20">
      <formula>IF($G8&gt;$I8,TRUE)</formula>
    </cfRule>
    <cfRule type="expression" dxfId="503" priority="21">
      <formula>IF($G8&lt;$I8,TRUE)</formula>
    </cfRule>
  </conditionalFormatting>
  <conditionalFormatting sqref="K8:N21">
    <cfRule type="expression" dxfId="502" priority="13">
      <formula>IF(AND(ISNUMBER($K8),$K8=$M8),TRUE)</formula>
    </cfRule>
    <cfRule type="expression" dxfId="501" priority="24">
      <formula>IF($K8&gt;$M8,TRUE)</formula>
    </cfRule>
    <cfRule type="expression" dxfId="500" priority="25">
      <formula>IF($K8&lt;$M8,TRUE)</formula>
    </cfRule>
  </conditionalFormatting>
  <conditionalFormatting sqref="O8:R21">
    <cfRule type="expression" dxfId="499" priority="12">
      <formula>IF(AND(ISNUMBER($O8),$O8=$Q8),TRUE)</formula>
    </cfRule>
    <cfRule type="expression" dxfId="498" priority="28">
      <formula>IF($O8&gt;$Q8,TRUE)</formula>
    </cfRule>
    <cfRule type="expression" dxfId="497" priority="29">
      <formula>IF($O8&lt;$Q8,TRUE)</formula>
    </cfRule>
  </conditionalFormatting>
  <conditionalFormatting sqref="S8:V21">
    <cfRule type="expression" dxfId="496" priority="11">
      <formula>IF(AND(ISNUMBER($S8),$S8=$U8),TRUE)</formula>
    </cfRule>
    <cfRule type="expression" dxfId="495" priority="32">
      <formula>IF($S8&gt;$U8,TRUE)</formula>
    </cfRule>
    <cfRule type="expression" dxfId="494" priority="33">
      <formula>IF($S8&lt;$U8,TRUE)</formula>
    </cfRule>
  </conditionalFormatting>
  <conditionalFormatting sqref="C8:C21 G8:G21 K8:K21 O8:O21 S8:S21">
    <cfRule type="expression" dxfId="493" priority="4">
      <formula>AND(C8=0,E8=13)</formula>
    </cfRule>
  </conditionalFormatting>
  <conditionalFormatting sqref="E8:E21 I8:I21 M8:M21 Q8:Q21 U8:U21">
    <cfRule type="expression" dxfId="492" priority="5">
      <formula>AND(E8=0,C8=13)</formula>
    </cfRule>
  </conditionalFormatting>
  <conditionalFormatting sqref="AF8:AF21 AJ8:AJ21 AL8:AL21">
    <cfRule type="expression" dxfId="491" priority="1">
      <formula>AND(AE8="",COUNTIF(AF8,"*,*")=0)</formula>
    </cfRule>
  </conditionalFormatting>
  <conditionalFormatting sqref="AH8:AH21">
    <cfRule type="expression" dxfId="490" priority="2">
      <formula>AND(AG8="",FIND(",",AH8))</formula>
    </cfRule>
    <cfRule type="expression" dxfId="489" priority="3">
      <formula>AND(AG8="",COUNTIF(AH8,"*,*")=0)</formula>
    </cfRule>
  </conditionalFormatting>
  <conditionalFormatting sqref="A300:A313">
    <cfRule type="duplicateValues" dxfId="488" priority="70"/>
  </conditionalFormatting>
  <conditionalFormatting sqref="A8:A21">
    <cfRule type="duplicateValues" dxfId="487" priority="132"/>
  </conditionalFormatting>
  <conditionalFormatting sqref="B300:B313">
    <cfRule type="expression" dxfId="486" priority="174">
      <formula>A300=3</formula>
    </cfRule>
    <cfRule type="expression" dxfId="485" priority="175">
      <formula>A300=2</formula>
    </cfRule>
    <cfRule type="expression" dxfId="484" priority="176">
      <formula>A300=1</formula>
    </cfRule>
    <cfRule type="containsBlanks" dxfId="483" priority="177">
      <formula>LEN(TRIM(B300))=0</formula>
    </cfRule>
    <cfRule type="duplicateValues" dxfId="482" priority="178"/>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M310"/>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38"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8.28515625" hidden="1" customWidth="1"/>
    <col min="33" max="33" width="9.140625" hidden="1" customWidth="1"/>
    <col min="34" max="34" width="26.42578125" hidden="1" customWidth="1"/>
    <col min="35" max="35" width="9.140625" hidden="1" customWidth="1"/>
    <col min="36" max="36" width="17.28515625" hidden="1" customWidth="1"/>
    <col min="37" max="37" width="9.140625" hidden="1" customWidth="1"/>
    <col min="38" max="38" width="16.5703125" hidden="1" customWidth="1"/>
  </cols>
  <sheetData>
    <row r="1" spans="1:39" x14ac:dyDescent="0.2">
      <c r="A1" s="742" t="str">
        <f>UPPER((Kalend!E18)&amp;" - "&amp;(Kalend!C18)&amp;" - "&amp;(Kalend!D18))</f>
        <v>V3 - VOKA 6. KV 3. ETAPP - DUO</v>
      </c>
      <c r="B1" s="652"/>
      <c r="C1" s="653"/>
      <c r="D1" s="652"/>
      <c r="E1" s="652"/>
      <c r="F1" s="410" t="str">
        <f>HYPERLINK("#Kalend!I1","Kalender")</f>
        <v>Kalender</v>
      </c>
      <c r="G1" s="410"/>
      <c r="H1" s="410"/>
      <c r="I1" s="410"/>
      <c r="J1" s="654" t="str">
        <f>HYPERLINK("#V!AB1","Reiting")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tr">
        <f>"Toimumisaeg: "&amp;(Kalend!A18)&amp;" kell "&amp;(Kalend!B18)</f>
        <v>Toimumisaeg: K, 05.06.2019 kell 18:00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2"/>
      <c r="AE2" s="652"/>
      <c r="AF2" s="652"/>
      <c r="AG2" s="652"/>
      <c r="AH2" s="652"/>
      <c r="AI2" s="652"/>
      <c r="AJ2" s="652"/>
      <c r="AK2" s="652"/>
      <c r="AL2" s="652"/>
      <c r="AM2" s="652"/>
    </row>
    <row r="3" spans="1:39" x14ac:dyDescent="0.2">
      <c r="A3" s="659" t="str">
        <f>"Toimumiskoht: "&amp;(Kalend!F18)</f>
        <v>Toimumiskoht: Voka staadion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tr">
        <f>"Korraldaja: "&amp;(Kalend!G18)</f>
        <v>Korraldaja: Johannes Neiland</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x14ac:dyDescent="0.2">
      <c r="A8" s="685">
        <v>1</v>
      </c>
      <c r="B8" s="686" t="s">
        <v>391</v>
      </c>
      <c r="C8" s="687">
        <v>12</v>
      </c>
      <c r="D8" s="688" t="s">
        <v>377</v>
      </c>
      <c r="E8" s="689">
        <v>13</v>
      </c>
      <c r="F8" s="690" t="s">
        <v>399</v>
      </c>
      <c r="G8" s="687">
        <v>13</v>
      </c>
      <c r="H8" s="688" t="s">
        <v>377</v>
      </c>
      <c r="I8" s="689">
        <v>6</v>
      </c>
      <c r="J8" s="690" t="s">
        <v>387</v>
      </c>
      <c r="K8" s="687">
        <v>13</v>
      </c>
      <c r="L8" s="688" t="s">
        <v>377</v>
      </c>
      <c r="M8" s="689">
        <v>5</v>
      </c>
      <c r="N8" s="690" t="s">
        <v>393</v>
      </c>
      <c r="O8" s="687">
        <v>13</v>
      </c>
      <c r="P8" s="688" t="s">
        <v>377</v>
      </c>
      <c r="Q8" s="689">
        <v>10</v>
      </c>
      <c r="R8" s="690" t="s">
        <v>382</v>
      </c>
      <c r="S8" s="687">
        <v>13</v>
      </c>
      <c r="T8" s="688" t="s">
        <v>377</v>
      </c>
      <c r="U8" s="689">
        <v>8</v>
      </c>
      <c r="V8" s="690" t="s">
        <v>400</v>
      </c>
      <c r="W8" s="691">
        <f>IF(C8&gt;E8,J$3,IF(C8&lt;E8,J$5,IF(ISNUMBER(C8),J$4,0)))+IF(G8&gt;I8,J$3,IF(G8&lt;I8,J$5,IF(ISNUMBER(G8),J$4,0)))+IF(K8&gt;M8,J$3,IF(K8&lt;M8,J$5,IF(ISNUMBER(K8),J$4,0)))+IF(O8&gt;Q8,J$3,IF(O8&lt;Q8,J$5,IF(ISNUMBER(O8),J$4,0)))+IF(S8&gt;U8,J$3,IF(S8&lt;U8,J$5,IF(ISNUMBER(S8),J$4,0)))</f>
        <v>4</v>
      </c>
      <c r="X8" s="692"/>
      <c r="Y8" s="687">
        <f>C8+G8+K8+O8+S8</f>
        <v>64</v>
      </c>
      <c r="Z8" s="688" t="s">
        <v>377</v>
      </c>
      <c r="AA8" s="693">
        <f>E8+I8+M8+Q8+U8</f>
        <v>42</v>
      </c>
      <c r="AB8" s="694">
        <f>Y8-AA8</f>
        <v>22</v>
      </c>
      <c r="AC8" s="695"/>
      <c r="AD8" s="708">
        <f t="shared" ref="AD8" si="0">SUM(AE8:AL8)</f>
        <v>334</v>
      </c>
      <c r="AE8" s="709">
        <f>IFERROR(INDEX(V!R$7:R$62,MATCH(AF8,V!L$7:L$62,0)),"")</f>
        <v>165</v>
      </c>
      <c r="AF8" s="710" t="str">
        <f t="shared" ref="AF8:AF18" si="1">IFERROR(LEFT(B8,(FIND(",",B8,1)-1)),"")</f>
        <v>Oksana Rõndenkova</v>
      </c>
      <c r="AG8" s="709">
        <f>IFERROR(INDEX(V!R$7:R$62,MATCH(AH8,V!L$7:L$62,0)),"")</f>
        <v>169</v>
      </c>
      <c r="AH8" s="710" t="str">
        <f t="shared" ref="AH8:AH18" si="2">IFERROR(MID(B8,FIND(", ",B8)+2,256),"")</f>
        <v>Oleg Rõndenkov</v>
      </c>
      <c r="AI8" s="709" t="str">
        <f>IFERROR(INDEX(V!R$7:R$62,MATCH(AJ8,V!L$7:L$62,0)),"")</f>
        <v/>
      </c>
      <c r="AJ8" s="710" t="str">
        <f t="shared" ref="AJ8:AJ18" si="3">IFERROR(MID(B8,FIND("^",SUBSTITUTE(B8,", ","^",1))+2,FIND("^",SUBSTITUTE(B8,", ","^",2))-FIND("^",SUBSTITUTE(B8,", ","^",1))-2),"")</f>
        <v/>
      </c>
      <c r="AK8" s="709" t="str">
        <f>IFERROR(INDEX(V!R$7:R$62,MATCH(AL8,V!L$7:L$62,0)),"")</f>
        <v/>
      </c>
      <c r="AL8" s="710" t="str">
        <f t="shared" ref="AL8:AL18" si="4">IFERROR(MID(B8,FIND(", ",B8,FIND(", ",B8,FIND(", ",B8))+1)+2,700),"")</f>
        <v/>
      </c>
      <c r="AM8" s="652"/>
    </row>
    <row r="9" spans="1:39" x14ac:dyDescent="0.2">
      <c r="A9" s="685">
        <v>2</v>
      </c>
      <c r="B9" s="686" t="s">
        <v>401</v>
      </c>
      <c r="C9" s="687">
        <v>6</v>
      </c>
      <c r="D9" s="688" t="s">
        <v>377</v>
      </c>
      <c r="E9" s="689">
        <v>13</v>
      </c>
      <c r="F9" s="690" t="s">
        <v>393</v>
      </c>
      <c r="G9" s="687">
        <v>13</v>
      </c>
      <c r="H9" s="688" t="s">
        <v>377</v>
      </c>
      <c r="I9" s="689">
        <v>7</v>
      </c>
      <c r="J9" s="690" t="s">
        <v>402</v>
      </c>
      <c r="K9" s="687">
        <v>13</v>
      </c>
      <c r="L9" s="688" t="s">
        <v>377</v>
      </c>
      <c r="M9" s="689">
        <v>2</v>
      </c>
      <c r="N9" s="690" t="s">
        <v>403</v>
      </c>
      <c r="O9" s="687">
        <v>13</v>
      </c>
      <c r="P9" s="688" t="s">
        <v>377</v>
      </c>
      <c r="Q9" s="689">
        <v>5</v>
      </c>
      <c r="R9" s="690" t="s">
        <v>383</v>
      </c>
      <c r="S9" s="687">
        <v>13</v>
      </c>
      <c r="T9" s="688" t="s">
        <v>377</v>
      </c>
      <c r="U9" s="689">
        <v>10</v>
      </c>
      <c r="V9" s="690" t="s">
        <v>382</v>
      </c>
      <c r="W9" s="691">
        <f t="shared" ref="W9:W18" si="5">IF(C9&gt;E9,J$3,IF(C9&lt;E9,J$5,IF(ISNUMBER(C9),J$4,0)))+IF(G9&gt;I9,J$3,IF(G9&lt;I9,J$5,IF(ISNUMBER(G9),J$4,0)))+IF(K9&gt;M9,J$3,IF(K9&lt;M9,J$5,IF(ISNUMBER(K9),J$4,0)))+IF(O9&gt;Q9,J$3,IF(O9&lt;Q9,J$5,IF(ISNUMBER(O9),J$4,0)))+IF(S9&gt;U9,J$3,IF(S9&lt;U9,J$5,IF(ISNUMBER(S9),J$4,0)))</f>
        <v>4</v>
      </c>
      <c r="X9" s="692"/>
      <c r="Y9" s="687">
        <f t="shared" ref="Y9:Y18" si="6">C9+G9+K9+O9+S9</f>
        <v>58</v>
      </c>
      <c r="Z9" s="688" t="s">
        <v>377</v>
      </c>
      <c r="AA9" s="693">
        <f t="shared" ref="AA9:AA18" si="7">E9+I9+M9+Q9+U9</f>
        <v>37</v>
      </c>
      <c r="AB9" s="694">
        <f t="shared" ref="AB9:AB18" si="8">Y9-AA9</f>
        <v>21</v>
      </c>
      <c r="AC9" s="695"/>
      <c r="AD9" s="708">
        <f t="shared" ref="AD9:AD18" si="9">SUM(AE9:AL9)</f>
        <v>129</v>
      </c>
      <c r="AE9" s="709">
        <f>IFERROR(INDEX(V!R$7:R$62,MATCH(AF9,V!L$7:L$62,0)),"")</f>
        <v>90</v>
      </c>
      <c r="AF9" s="710" t="str">
        <f t="shared" si="1"/>
        <v>Johannes Neiland</v>
      </c>
      <c r="AG9" s="709">
        <f>IFERROR(INDEX(V!R$7:R$62,MATCH(AH9,V!L$7:L$62,0)),"")</f>
        <v>39</v>
      </c>
      <c r="AH9" s="710" t="str">
        <f t="shared" si="2"/>
        <v>Tõnis Neiland</v>
      </c>
      <c r="AI9" s="709" t="str">
        <f>IFERROR(INDEX(V!R$7:R$62,MATCH(AJ9,V!L$7:L$62,0)),"")</f>
        <v/>
      </c>
      <c r="AJ9" s="710" t="str">
        <f t="shared" si="3"/>
        <v/>
      </c>
      <c r="AK9" s="709" t="str">
        <f>IFERROR(INDEX(V!R$7:R$62,MATCH(AL9,V!L$7:L$62,0)),"")</f>
        <v/>
      </c>
      <c r="AL9" s="710" t="str">
        <f t="shared" si="4"/>
        <v/>
      </c>
      <c r="AM9" s="652"/>
    </row>
    <row r="10" spans="1:39" x14ac:dyDescent="0.2">
      <c r="A10" s="685">
        <v>3</v>
      </c>
      <c r="B10" s="686" t="s">
        <v>399</v>
      </c>
      <c r="C10" s="687">
        <v>13</v>
      </c>
      <c r="D10" s="688" t="s">
        <v>377</v>
      </c>
      <c r="E10" s="689">
        <v>12</v>
      </c>
      <c r="F10" s="690" t="s">
        <v>391</v>
      </c>
      <c r="G10" s="687">
        <v>13</v>
      </c>
      <c r="H10" s="688" t="s">
        <v>377</v>
      </c>
      <c r="I10" s="689">
        <v>8</v>
      </c>
      <c r="J10" s="690" t="s">
        <v>403</v>
      </c>
      <c r="K10" s="687">
        <v>3</v>
      </c>
      <c r="L10" s="688" t="s">
        <v>377</v>
      </c>
      <c r="M10" s="689">
        <v>13</v>
      </c>
      <c r="N10" s="690" t="s">
        <v>383</v>
      </c>
      <c r="O10" s="687">
        <v>12</v>
      </c>
      <c r="P10" s="688" t="s">
        <v>377</v>
      </c>
      <c r="Q10" s="689">
        <v>12</v>
      </c>
      <c r="R10" s="690" t="s">
        <v>400</v>
      </c>
      <c r="S10" s="687">
        <v>13</v>
      </c>
      <c r="T10" s="688" t="s">
        <v>377</v>
      </c>
      <c r="U10" s="689">
        <v>7</v>
      </c>
      <c r="V10" s="690" t="s">
        <v>393</v>
      </c>
      <c r="W10" s="691">
        <f t="shared" si="5"/>
        <v>3.5</v>
      </c>
      <c r="X10" s="692"/>
      <c r="Y10" s="687">
        <f t="shared" si="6"/>
        <v>54</v>
      </c>
      <c r="Z10" s="688" t="s">
        <v>377</v>
      </c>
      <c r="AA10" s="693">
        <f t="shared" si="7"/>
        <v>52</v>
      </c>
      <c r="AB10" s="694">
        <f t="shared" si="8"/>
        <v>2</v>
      </c>
      <c r="AC10" s="695"/>
      <c r="AD10" s="708">
        <f t="shared" si="9"/>
        <v>181</v>
      </c>
      <c r="AE10" s="709">
        <f>IFERROR(INDEX(V!R$7:R$62,MATCH(AF10,V!L$7:L$62,0)),"")</f>
        <v>106</v>
      </c>
      <c r="AF10" s="710" t="str">
        <f t="shared" si="1"/>
        <v>Henri Mitt</v>
      </c>
      <c r="AG10" s="709">
        <f>IFERROR(INDEX(V!R$7:R$62,MATCH(AH10,V!L$7:L$62,0)),"")</f>
        <v>75</v>
      </c>
      <c r="AH10" s="710" t="str">
        <f t="shared" si="2"/>
        <v>Urmas Randlaine</v>
      </c>
      <c r="AI10" s="709" t="str">
        <f>IFERROR(INDEX(V!R$7:R$62,MATCH(AJ10,V!L$7:L$62,0)),"")</f>
        <v/>
      </c>
      <c r="AJ10" s="710" t="str">
        <f t="shared" si="3"/>
        <v/>
      </c>
      <c r="AK10" s="709" t="str">
        <f>IFERROR(INDEX(V!R$7:R$62,MATCH(AL10,V!L$7:L$62,0)),"")</f>
        <v/>
      </c>
      <c r="AL10" s="710" t="str">
        <f t="shared" si="4"/>
        <v/>
      </c>
      <c r="AM10" s="652"/>
    </row>
    <row r="11" spans="1:39" x14ac:dyDescent="0.2">
      <c r="A11" s="685">
        <v>4</v>
      </c>
      <c r="B11" s="686" t="s">
        <v>382</v>
      </c>
      <c r="C11" s="687">
        <v>13</v>
      </c>
      <c r="D11" s="688" t="s">
        <v>377</v>
      </c>
      <c r="E11" s="689">
        <v>6</v>
      </c>
      <c r="F11" s="690" t="s">
        <v>402</v>
      </c>
      <c r="G11" s="687">
        <v>13</v>
      </c>
      <c r="H11" s="688" t="s">
        <v>377</v>
      </c>
      <c r="I11" s="689">
        <v>12</v>
      </c>
      <c r="J11" s="690" t="s">
        <v>383</v>
      </c>
      <c r="K11" s="687">
        <v>13</v>
      </c>
      <c r="L11" s="688" t="s">
        <v>377</v>
      </c>
      <c r="M11" s="689">
        <v>5</v>
      </c>
      <c r="N11" s="690" t="s">
        <v>400</v>
      </c>
      <c r="O11" s="687">
        <v>10</v>
      </c>
      <c r="P11" s="688" t="s">
        <v>377</v>
      </c>
      <c r="Q11" s="689">
        <v>13</v>
      </c>
      <c r="R11" s="690" t="s">
        <v>391</v>
      </c>
      <c r="S11" s="687">
        <v>10</v>
      </c>
      <c r="T11" s="688" t="s">
        <v>377</v>
      </c>
      <c r="U11" s="689">
        <v>13</v>
      </c>
      <c r="V11" s="690" t="s">
        <v>401</v>
      </c>
      <c r="W11" s="691">
        <f t="shared" si="5"/>
        <v>3</v>
      </c>
      <c r="X11" s="692"/>
      <c r="Y11" s="687">
        <f t="shared" si="6"/>
        <v>59</v>
      </c>
      <c r="Z11" s="688" t="s">
        <v>377</v>
      </c>
      <c r="AA11" s="693">
        <f t="shared" si="7"/>
        <v>49</v>
      </c>
      <c r="AB11" s="694">
        <f t="shared" si="8"/>
        <v>10</v>
      </c>
      <c r="AC11" s="695"/>
      <c r="AD11" s="708">
        <f t="shared" si="9"/>
        <v>249</v>
      </c>
      <c r="AE11" s="709">
        <f>IFERROR(INDEX(V!R$7:R$62,MATCH(AF11,V!L$7:L$62,0)),"")</f>
        <v>101</v>
      </c>
      <c r="AF11" s="710" t="str">
        <f t="shared" si="1"/>
        <v>Mait Metsla</v>
      </c>
      <c r="AG11" s="709">
        <f>IFERROR(INDEX(V!R$7:R$62,MATCH(AH11,V!L$7:L$62,0)),"")</f>
        <v>148</v>
      </c>
      <c r="AH11" s="710" t="str">
        <f t="shared" si="2"/>
        <v>Matti Vinni</v>
      </c>
      <c r="AI11" s="709" t="str">
        <f>IFERROR(INDEX(V!R$7:R$62,MATCH(AJ11,V!L$7:L$62,0)),"")</f>
        <v/>
      </c>
      <c r="AJ11" s="710" t="str">
        <f t="shared" si="3"/>
        <v/>
      </c>
      <c r="AK11" s="709" t="str">
        <f>IFERROR(INDEX(V!R$7:R$62,MATCH(AL11,V!L$7:L$62,0)),"")</f>
        <v/>
      </c>
      <c r="AL11" s="710" t="str">
        <f t="shared" si="4"/>
        <v/>
      </c>
      <c r="AM11" s="652"/>
    </row>
    <row r="12" spans="1:39" x14ac:dyDescent="0.2">
      <c r="A12" s="685">
        <v>5</v>
      </c>
      <c r="B12" s="686" t="s">
        <v>404</v>
      </c>
      <c r="C12" s="687">
        <v>4</v>
      </c>
      <c r="D12" s="688" t="s">
        <v>377</v>
      </c>
      <c r="E12" s="689">
        <v>13</v>
      </c>
      <c r="F12" s="690" t="s">
        <v>383</v>
      </c>
      <c r="G12" s="687">
        <v>13</v>
      </c>
      <c r="H12" s="688" t="s">
        <v>377</v>
      </c>
      <c r="I12" s="689">
        <v>7</v>
      </c>
      <c r="J12" s="690" t="s">
        <v>388</v>
      </c>
      <c r="K12" s="687">
        <v>11</v>
      </c>
      <c r="L12" s="688" t="s">
        <v>377</v>
      </c>
      <c r="M12" s="689">
        <v>10</v>
      </c>
      <c r="N12" s="690" t="s">
        <v>387</v>
      </c>
      <c r="O12" s="687">
        <v>2</v>
      </c>
      <c r="P12" s="688" t="s">
        <v>377</v>
      </c>
      <c r="Q12" s="689">
        <v>13</v>
      </c>
      <c r="R12" s="690" t="s">
        <v>393</v>
      </c>
      <c r="S12" s="687">
        <v>13</v>
      </c>
      <c r="T12" s="688" t="s">
        <v>377</v>
      </c>
      <c r="U12" s="689">
        <v>6</v>
      </c>
      <c r="V12" s="690" t="s">
        <v>402</v>
      </c>
      <c r="W12" s="691">
        <f t="shared" si="5"/>
        <v>3</v>
      </c>
      <c r="X12" s="692"/>
      <c r="Y12" s="687">
        <f t="shared" si="6"/>
        <v>43</v>
      </c>
      <c r="Z12" s="688" t="s">
        <v>377</v>
      </c>
      <c r="AA12" s="693">
        <f t="shared" si="7"/>
        <v>49</v>
      </c>
      <c r="AB12" s="694">
        <f t="shared" si="8"/>
        <v>-6</v>
      </c>
      <c r="AC12" s="695"/>
      <c r="AD12" s="708">
        <f t="shared" si="9"/>
        <v>235</v>
      </c>
      <c r="AE12" s="709">
        <f>IFERROR(INDEX(V!R$7:R$62,MATCH(AF12,V!L$7:L$62,0)),"")</f>
        <v>125</v>
      </c>
      <c r="AF12" s="710" t="str">
        <f t="shared" si="1"/>
        <v>Karla Purgats</v>
      </c>
      <c r="AG12" s="709">
        <f>IFERROR(INDEX(V!R$7:R$62,MATCH(AH12,V!L$7:L$62,0)),"")</f>
        <v>110</v>
      </c>
      <c r="AH12" s="710" t="str">
        <f t="shared" si="2"/>
        <v>Lemmit Toomra</v>
      </c>
      <c r="AI12" s="709" t="str">
        <f>IFERROR(INDEX(V!R$7:R$62,MATCH(AJ12,V!L$7:L$62,0)),"")</f>
        <v/>
      </c>
      <c r="AJ12" s="710" t="str">
        <f t="shared" si="3"/>
        <v/>
      </c>
      <c r="AK12" s="709" t="str">
        <f>IFERROR(INDEX(V!R$7:R$62,MATCH(AL12,V!L$7:L$62,0)),"")</f>
        <v/>
      </c>
      <c r="AL12" s="710" t="str">
        <f t="shared" si="4"/>
        <v/>
      </c>
      <c r="AM12" s="652"/>
    </row>
    <row r="13" spans="1:39" x14ac:dyDescent="0.2">
      <c r="A13" s="685">
        <v>6</v>
      </c>
      <c r="B13" s="686" t="s">
        <v>400</v>
      </c>
      <c r="C13" s="687">
        <v>13</v>
      </c>
      <c r="D13" s="688" t="s">
        <v>377</v>
      </c>
      <c r="E13" s="689">
        <v>7</v>
      </c>
      <c r="F13" s="690" t="s">
        <v>388</v>
      </c>
      <c r="G13" s="687">
        <v>13</v>
      </c>
      <c r="H13" s="688" t="s">
        <v>377</v>
      </c>
      <c r="I13" s="689">
        <v>9</v>
      </c>
      <c r="J13" s="690" t="s">
        <v>393</v>
      </c>
      <c r="K13" s="687">
        <v>5</v>
      </c>
      <c r="L13" s="688" t="s">
        <v>377</v>
      </c>
      <c r="M13" s="689">
        <v>13</v>
      </c>
      <c r="N13" s="690" t="s">
        <v>382</v>
      </c>
      <c r="O13" s="687">
        <v>12</v>
      </c>
      <c r="P13" s="688" t="s">
        <v>377</v>
      </c>
      <c r="Q13" s="689">
        <v>12</v>
      </c>
      <c r="R13" s="690" t="s">
        <v>399</v>
      </c>
      <c r="S13" s="687">
        <v>8</v>
      </c>
      <c r="T13" s="688" t="s">
        <v>377</v>
      </c>
      <c r="U13" s="689">
        <v>13</v>
      </c>
      <c r="V13" s="690" t="s">
        <v>391</v>
      </c>
      <c r="W13" s="691">
        <f t="shared" si="5"/>
        <v>2.5</v>
      </c>
      <c r="X13" s="692"/>
      <c r="Y13" s="687">
        <f t="shared" si="6"/>
        <v>51</v>
      </c>
      <c r="Z13" s="688" t="s">
        <v>377</v>
      </c>
      <c r="AA13" s="693">
        <f t="shared" si="7"/>
        <v>54</v>
      </c>
      <c r="AB13" s="694">
        <f t="shared" si="8"/>
        <v>-3</v>
      </c>
      <c r="AC13" s="695"/>
      <c r="AD13" s="708">
        <f t="shared" si="9"/>
        <v>149</v>
      </c>
      <c r="AE13" s="709">
        <f>IFERROR(INDEX(V!R$7:R$62,MATCH(AF13,V!L$7:L$62,0)),"")</f>
        <v>74</v>
      </c>
      <c r="AF13" s="710" t="str">
        <f t="shared" si="1"/>
        <v>Ivar Viljaste</v>
      </c>
      <c r="AG13" s="709">
        <f>IFERROR(INDEX(V!R$7:R$62,MATCH(AH13,V!L$7:L$62,0)),"")</f>
        <v>75</v>
      </c>
      <c r="AH13" s="710" t="str">
        <f t="shared" si="2"/>
        <v>Tõnu Kapper</v>
      </c>
      <c r="AI13" s="709" t="str">
        <f>IFERROR(INDEX(V!R$7:R$62,MATCH(AJ13,V!L$7:L$62,0)),"")</f>
        <v/>
      </c>
      <c r="AJ13" s="710" t="str">
        <f t="shared" si="3"/>
        <v/>
      </c>
      <c r="AK13" s="709" t="str">
        <f>IFERROR(INDEX(V!R$7:R$62,MATCH(AL13,V!L$7:L$62,0)),"")</f>
        <v/>
      </c>
      <c r="AL13" s="710" t="str">
        <f t="shared" si="4"/>
        <v/>
      </c>
      <c r="AM13" s="652"/>
    </row>
    <row r="14" spans="1:39" x14ac:dyDescent="0.2">
      <c r="A14" s="685">
        <v>7</v>
      </c>
      <c r="B14" s="696" t="s">
        <v>402</v>
      </c>
      <c r="C14" s="687">
        <v>6</v>
      </c>
      <c r="D14" s="688" t="s">
        <v>377</v>
      </c>
      <c r="E14" s="689">
        <v>13</v>
      </c>
      <c r="F14" s="690" t="s">
        <v>382</v>
      </c>
      <c r="G14" s="687">
        <v>7</v>
      </c>
      <c r="H14" s="688" t="s">
        <v>377</v>
      </c>
      <c r="I14" s="689">
        <v>13</v>
      </c>
      <c r="J14" s="690" t="s">
        <v>401</v>
      </c>
      <c r="K14" s="687">
        <v>13</v>
      </c>
      <c r="L14" s="688" t="s">
        <v>377</v>
      </c>
      <c r="M14" s="689">
        <v>7</v>
      </c>
      <c r="N14" s="690" t="s">
        <v>388</v>
      </c>
      <c r="O14" s="687">
        <v>13</v>
      </c>
      <c r="P14" s="688" t="s">
        <v>377</v>
      </c>
      <c r="Q14" s="689">
        <v>7</v>
      </c>
      <c r="R14" s="690" t="s">
        <v>403</v>
      </c>
      <c r="S14" s="687">
        <v>6</v>
      </c>
      <c r="T14" s="688" t="s">
        <v>377</v>
      </c>
      <c r="U14" s="689">
        <v>13</v>
      </c>
      <c r="V14" s="690" t="s">
        <v>404</v>
      </c>
      <c r="W14" s="691">
        <f t="shared" si="5"/>
        <v>2</v>
      </c>
      <c r="X14" s="692"/>
      <c r="Y14" s="687">
        <f t="shared" si="6"/>
        <v>45</v>
      </c>
      <c r="Z14" s="688" t="s">
        <v>377</v>
      </c>
      <c r="AA14" s="693">
        <f t="shared" si="7"/>
        <v>53</v>
      </c>
      <c r="AB14" s="694">
        <f t="shared" si="8"/>
        <v>-8</v>
      </c>
      <c r="AC14" s="695"/>
      <c r="AD14" s="708">
        <f t="shared" si="9"/>
        <v>144</v>
      </c>
      <c r="AE14" s="709">
        <f>IFERROR(INDEX(V!R$7:R$62,MATCH(AF14,V!L$7:L$62,0)),"")</f>
        <v>113</v>
      </c>
      <c r="AF14" s="710" t="str">
        <f t="shared" si="1"/>
        <v>Kaspar Mänd</v>
      </c>
      <c r="AG14" s="709">
        <f>IFERROR(INDEX(V!R$7:R$62,MATCH(AH14,V!L$7:L$62,0)),"")</f>
        <v>31</v>
      </c>
      <c r="AH14" s="710" t="str">
        <f t="shared" si="2"/>
        <v>Peep Peenema</v>
      </c>
      <c r="AI14" s="709" t="str">
        <f>IFERROR(INDEX(V!R$7:R$62,MATCH(AJ14,V!L$7:L$62,0)),"")</f>
        <v/>
      </c>
      <c r="AJ14" s="710" t="str">
        <f t="shared" si="3"/>
        <v/>
      </c>
      <c r="AK14" s="709" t="str">
        <f>IFERROR(INDEX(V!R$7:R$62,MATCH(AL14,V!L$7:L$62,0)),"")</f>
        <v/>
      </c>
      <c r="AL14" s="710" t="str">
        <f t="shared" si="4"/>
        <v/>
      </c>
      <c r="AM14" s="652"/>
    </row>
    <row r="15" spans="1:39" x14ac:dyDescent="0.2">
      <c r="A15" s="685">
        <v>8</v>
      </c>
      <c r="B15" s="696" t="s">
        <v>403</v>
      </c>
      <c r="C15" s="687">
        <v>13</v>
      </c>
      <c r="D15" s="688" t="s">
        <v>377</v>
      </c>
      <c r="E15" s="689">
        <v>12</v>
      </c>
      <c r="F15" s="690" t="s">
        <v>387</v>
      </c>
      <c r="G15" s="687">
        <v>8</v>
      </c>
      <c r="H15" s="688" t="s">
        <v>377</v>
      </c>
      <c r="I15" s="689">
        <v>13</v>
      </c>
      <c r="J15" s="690" t="s">
        <v>399</v>
      </c>
      <c r="K15" s="687">
        <v>2</v>
      </c>
      <c r="L15" s="688" t="s">
        <v>377</v>
      </c>
      <c r="M15" s="689">
        <v>13</v>
      </c>
      <c r="N15" s="690" t="s">
        <v>401</v>
      </c>
      <c r="O15" s="687">
        <v>7</v>
      </c>
      <c r="P15" s="688" t="s">
        <v>377</v>
      </c>
      <c r="Q15" s="689">
        <v>13</v>
      </c>
      <c r="R15" s="690" t="s">
        <v>402</v>
      </c>
      <c r="S15" s="687">
        <v>13</v>
      </c>
      <c r="T15" s="688" t="s">
        <v>377</v>
      </c>
      <c r="U15" s="689">
        <v>7</v>
      </c>
      <c r="V15" s="690" t="s">
        <v>388</v>
      </c>
      <c r="W15" s="691">
        <f t="shared" si="5"/>
        <v>2</v>
      </c>
      <c r="X15" s="692"/>
      <c r="Y15" s="687">
        <f t="shared" si="6"/>
        <v>43</v>
      </c>
      <c r="Z15" s="688" t="s">
        <v>377</v>
      </c>
      <c r="AA15" s="693">
        <f t="shared" si="7"/>
        <v>58</v>
      </c>
      <c r="AB15" s="694">
        <f t="shared" si="8"/>
        <v>-15</v>
      </c>
      <c r="AC15" s="695"/>
      <c r="AD15" s="708">
        <f t="shared" si="9"/>
        <v>301</v>
      </c>
      <c r="AE15" s="709">
        <f>IFERROR(INDEX(V!R$7:R$62,MATCH(AF15,V!L$7:L$62,0)),"")</f>
        <v>81</v>
      </c>
      <c r="AF15" s="710" t="str">
        <f t="shared" si="1"/>
        <v>Illar Tõnurist</v>
      </c>
      <c r="AG15" s="709" t="str">
        <f>IFERROR(INDEX(V!R$7:R$62,MATCH(AH15,V!L$7:L$62,0)),"")</f>
        <v/>
      </c>
      <c r="AH15" s="710" t="str">
        <f t="shared" si="2"/>
        <v>Jaan Saar, Kenneth Muusikus</v>
      </c>
      <c r="AI15" s="709">
        <f>IFERROR(INDEX(V!R$7:R$62,MATCH(AJ15,V!L$7:L$62,0)),"")</f>
        <v>85</v>
      </c>
      <c r="AJ15" s="710" t="str">
        <f t="shared" si="3"/>
        <v>Jaan Saar</v>
      </c>
      <c r="AK15" s="709">
        <f>IFERROR(INDEX(V!R$7:R$62,MATCH(AL15,V!L$7:L$62,0)),"")</f>
        <v>135</v>
      </c>
      <c r="AL15" s="710" t="str">
        <f t="shared" si="4"/>
        <v>Kenneth Muusikus</v>
      </c>
      <c r="AM15" s="652"/>
    </row>
    <row r="16" spans="1:39" x14ac:dyDescent="0.2">
      <c r="A16" s="685">
        <v>9</v>
      </c>
      <c r="B16" s="686" t="s">
        <v>387</v>
      </c>
      <c r="C16" s="687">
        <v>12</v>
      </c>
      <c r="D16" s="688" t="s">
        <v>377</v>
      </c>
      <c r="E16" s="689">
        <v>13</v>
      </c>
      <c r="F16" s="690" t="s">
        <v>403</v>
      </c>
      <c r="G16" s="687">
        <v>6</v>
      </c>
      <c r="H16" s="688" t="s">
        <v>377</v>
      </c>
      <c r="I16" s="689">
        <v>13</v>
      </c>
      <c r="J16" s="690" t="s">
        <v>391</v>
      </c>
      <c r="K16" s="687">
        <v>10</v>
      </c>
      <c r="L16" s="688" t="s">
        <v>377</v>
      </c>
      <c r="M16" s="689">
        <v>11</v>
      </c>
      <c r="N16" s="690" t="s">
        <v>404</v>
      </c>
      <c r="O16" s="687">
        <v>13</v>
      </c>
      <c r="P16" s="688" t="s">
        <v>377</v>
      </c>
      <c r="Q16" s="689">
        <v>7</v>
      </c>
      <c r="R16" s="690" t="s">
        <v>388</v>
      </c>
      <c r="S16" s="687">
        <v>13</v>
      </c>
      <c r="T16" s="688" t="s">
        <v>377</v>
      </c>
      <c r="U16" s="689">
        <v>10</v>
      </c>
      <c r="V16" s="690" t="s">
        <v>383</v>
      </c>
      <c r="W16" s="691">
        <f t="shared" si="5"/>
        <v>2</v>
      </c>
      <c r="X16" s="692"/>
      <c r="Y16" s="687">
        <f t="shared" si="6"/>
        <v>54</v>
      </c>
      <c r="Z16" s="688" t="s">
        <v>377</v>
      </c>
      <c r="AA16" s="693">
        <f t="shared" si="7"/>
        <v>54</v>
      </c>
      <c r="AB16" s="694">
        <f t="shared" si="8"/>
        <v>0</v>
      </c>
      <c r="AC16" s="695"/>
      <c r="AD16" s="708">
        <f t="shared" si="9"/>
        <v>220</v>
      </c>
      <c r="AE16" s="709">
        <f>IFERROR(INDEX(V!R$7:R$62,MATCH(AF16,V!L$7:L$62,0)),"")</f>
        <v>102</v>
      </c>
      <c r="AF16" s="710" t="str">
        <f t="shared" si="1"/>
        <v>Enn Tokman</v>
      </c>
      <c r="AG16" s="709">
        <f>IFERROR(INDEX(V!R$7:R$62,MATCH(AH16,V!L$7:L$62,0)),"")</f>
        <v>118</v>
      </c>
      <c r="AH16" s="710" t="str">
        <f t="shared" si="2"/>
        <v>Tarmo Bombe</v>
      </c>
      <c r="AI16" s="709" t="str">
        <f>IFERROR(INDEX(V!R$7:R$62,MATCH(AJ16,V!L$7:L$62,0)),"")</f>
        <v/>
      </c>
      <c r="AJ16" s="710" t="str">
        <f t="shared" si="3"/>
        <v/>
      </c>
      <c r="AK16" s="709" t="str">
        <f>IFERROR(INDEX(V!R$7:R$62,MATCH(AL16,V!L$7:L$62,0)),"")</f>
        <v/>
      </c>
      <c r="AL16" s="710" t="str">
        <f t="shared" si="4"/>
        <v/>
      </c>
      <c r="AM16" s="652"/>
    </row>
    <row r="17" spans="1:39" x14ac:dyDescent="0.2">
      <c r="A17" s="685">
        <v>10</v>
      </c>
      <c r="B17" s="686" t="s">
        <v>393</v>
      </c>
      <c r="C17" s="687">
        <v>13</v>
      </c>
      <c r="D17" s="688" t="s">
        <v>377</v>
      </c>
      <c r="E17" s="689">
        <v>6</v>
      </c>
      <c r="F17" s="690" t="s">
        <v>401</v>
      </c>
      <c r="G17" s="687">
        <v>9</v>
      </c>
      <c r="H17" s="688" t="s">
        <v>377</v>
      </c>
      <c r="I17" s="689">
        <v>13</v>
      </c>
      <c r="J17" s="690" t="s">
        <v>400</v>
      </c>
      <c r="K17" s="687">
        <v>5</v>
      </c>
      <c r="L17" s="688" t="s">
        <v>377</v>
      </c>
      <c r="M17" s="689">
        <v>13</v>
      </c>
      <c r="N17" s="690" t="s">
        <v>391</v>
      </c>
      <c r="O17" s="687">
        <v>13</v>
      </c>
      <c r="P17" s="688" t="s">
        <v>377</v>
      </c>
      <c r="Q17" s="689">
        <v>2</v>
      </c>
      <c r="R17" s="690" t="s">
        <v>404</v>
      </c>
      <c r="S17" s="687">
        <v>7</v>
      </c>
      <c r="T17" s="688" t="s">
        <v>377</v>
      </c>
      <c r="U17" s="689">
        <v>13</v>
      </c>
      <c r="V17" s="690" t="s">
        <v>399</v>
      </c>
      <c r="W17" s="691">
        <f t="shared" si="5"/>
        <v>2</v>
      </c>
      <c r="X17" s="692"/>
      <c r="Y17" s="687">
        <f t="shared" si="6"/>
        <v>47</v>
      </c>
      <c r="Z17" s="688" t="s">
        <v>377</v>
      </c>
      <c r="AA17" s="693">
        <f t="shared" si="7"/>
        <v>47</v>
      </c>
      <c r="AB17" s="694">
        <f t="shared" si="8"/>
        <v>0</v>
      </c>
      <c r="AC17" s="695"/>
      <c r="AD17" s="708">
        <f t="shared" si="9"/>
        <v>216</v>
      </c>
      <c r="AE17" s="709">
        <f>IFERROR(INDEX(V!R$7:R$62,MATCH(AF17,V!L$7:L$62,0)),"")</f>
        <v>113</v>
      </c>
      <c r="AF17" s="710" t="str">
        <f t="shared" si="1"/>
        <v>Andrei Grintšak</v>
      </c>
      <c r="AG17" s="709">
        <f>IFERROR(INDEX(V!R$7:R$62,MATCH(AH17,V!L$7:L$62,0)),"")</f>
        <v>103</v>
      </c>
      <c r="AH17" s="710" t="str">
        <f t="shared" si="2"/>
        <v>Boriss Klubov</v>
      </c>
      <c r="AI17" s="709" t="str">
        <f>IFERROR(INDEX(V!R$7:R$62,MATCH(AJ17,V!L$7:L$62,0)),"")</f>
        <v/>
      </c>
      <c r="AJ17" s="710" t="str">
        <f t="shared" si="3"/>
        <v/>
      </c>
      <c r="AK17" s="709" t="str">
        <f>IFERROR(INDEX(V!R$7:R$62,MATCH(AL17,V!L$7:L$62,0)),"")</f>
        <v/>
      </c>
      <c r="AL17" s="710" t="str">
        <f t="shared" si="4"/>
        <v/>
      </c>
      <c r="AM17" s="652"/>
    </row>
    <row r="18" spans="1:39" x14ac:dyDescent="0.2">
      <c r="A18" s="685">
        <v>11</v>
      </c>
      <c r="B18" s="696" t="s">
        <v>383</v>
      </c>
      <c r="C18" s="687">
        <v>13</v>
      </c>
      <c r="D18" s="688" t="s">
        <v>377</v>
      </c>
      <c r="E18" s="689">
        <v>4</v>
      </c>
      <c r="F18" s="690" t="s">
        <v>404</v>
      </c>
      <c r="G18" s="687">
        <v>12</v>
      </c>
      <c r="H18" s="688" t="s">
        <v>377</v>
      </c>
      <c r="I18" s="689">
        <v>13</v>
      </c>
      <c r="J18" s="690" t="s">
        <v>382</v>
      </c>
      <c r="K18" s="687">
        <v>13</v>
      </c>
      <c r="L18" s="688" t="s">
        <v>377</v>
      </c>
      <c r="M18" s="689">
        <v>3</v>
      </c>
      <c r="N18" s="690" t="s">
        <v>399</v>
      </c>
      <c r="O18" s="687">
        <v>5</v>
      </c>
      <c r="P18" s="688" t="s">
        <v>377</v>
      </c>
      <c r="Q18" s="689">
        <v>13</v>
      </c>
      <c r="R18" s="690" t="s">
        <v>401</v>
      </c>
      <c r="S18" s="687">
        <v>10</v>
      </c>
      <c r="T18" s="688" t="s">
        <v>377</v>
      </c>
      <c r="U18" s="689">
        <v>13</v>
      </c>
      <c r="V18" s="690" t="s">
        <v>387</v>
      </c>
      <c r="W18" s="691">
        <f t="shared" si="5"/>
        <v>2</v>
      </c>
      <c r="X18" s="692"/>
      <c r="Y18" s="687">
        <f t="shared" si="6"/>
        <v>53</v>
      </c>
      <c r="Z18" s="688" t="s">
        <v>377</v>
      </c>
      <c r="AA18" s="693">
        <f t="shared" si="7"/>
        <v>46</v>
      </c>
      <c r="AB18" s="694">
        <f t="shared" si="8"/>
        <v>7</v>
      </c>
      <c r="AC18" s="695"/>
      <c r="AD18" s="708">
        <f t="shared" si="9"/>
        <v>284</v>
      </c>
      <c r="AE18" s="709">
        <f>IFERROR(INDEX(V!R$7:R$62,MATCH(AF18,V!L$7:L$62,0)),"")</f>
        <v>142</v>
      </c>
      <c r="AF18" s="710" t="str">
        <f t="shared" si="1"/>
        <v>Elmo Lageda</v>
      </c>
      <c r="AG18" s="709">
        <f>IFERROR(INDEX(V!R$7:R$62,MATCH(AH18,V!L$7:L$62,0)),"")</f>
        <v>142</v>
      </c>
      <c r="AH18" s="710" t="str">
        <f t="shared" si="2"/>
        <v>Tõnu Piik</v>
      </c>
      <c r="AI18" s="709" t="str">
        <f>IFERROR(INDEX(V!R$7:R$62,MATCH(AJ18,V!L$7:L$62,0)),"")</f>
        <v/>
      </c>
      <c r="AJ18" s="710" t="str">
        <f t="shared" si="3"/>
        <v/>
      </c>
      <c r="AK18" s="709" t="str">
        <f>IFERROR(INDEX(V!R$7:R$62,MATCH(AL18,V!L$7:L$62,0)),"")</f>
        <v/>
      </c>
      <c r="AL18" s="710" t="str">
        <f t="shared" si="4"/>
        <v/>
      </c>
      <c r="AM18" s="652"/>
    </row>
    <row r="19" spans="1:39" hidden="1" x14ac:dyDescent="0.2">
      <c r="A19" s="652"/>
      <c r="B19" s="652"/>
      <c r="C19" s="652"/>
      <c r="D19" s="652"/>
      <c r="E19" s="652"/>
      <c r="F19" s="652"/>
      <c r="G19" s="652"/>
      <c r="H19" s="652"/>
      <c r="I19" s="652"/>
      <c r="J19" s="652"/>
      <c r="K19" s="652"/>
      <c r="L19" s="652"/>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row>
    <row r="20" spans="1:39" hidden="1" x14ac:dyDescent="0.2">
      <c r="A20" s="652"/>
      <c r="B20" s="652"/>
      <c r="C20" s="652"/>
      <c r="D20" s="652"/>
      <c r="E20" s="652"/>
      <c r="F20" s="652"/>
      <c r="G20" s="652"/>
      <c r="H20" s="652"/>
      <c r="I20" s="652"/>
      <c r="J20" s="652"/>
      <c r="K20" s="652"/>
      <c r="L20" s="652"/>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row>
    <row r="21" spans="1:39" hidden="1" x14ac:dyDescent="0.2">
      <c r="A21" s="652"/>
      <c r="B21" s="652"/>
      <c r="C21" s="652"/>
      <c r="D21" s="652"/>
      <c r="E21" s="652"/>
      <c r="F21" s="652"/>
      <c r="G21" s="652"/>
      <c r="H21" s="652"/>
      <c r="I21" s="652"/>
      <c r="J21" s="652"/>
      <c r="K21" s="652"/>
      <c r="L21" s="652"/>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row>
    <row r="22" spans="1:39" hidden="1" x14ac:dyDescent="0.2">
      <c r="A22" s="652"/>
      <c r="B22" s="652"/>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row>
    <row r="23" spans="1:39" hidden="1" x14ac:dyDescent="0.2">
      <c r="A23" s="652"/>
      <c r="B23" s="652"/>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row>
    <row r="24" spans="1:39" hidden="1" x14ac:dyDescent="0.2">
      <c r="A24" s="652"/>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row>
    <row r="25" spans="1:39" hidden="1" x14ac:dyDescent="0.2">
      <c r="A25" s="652"/>
      <c r="B25" s="652"/>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row>
    <row r="26" spans="1:39" hidden="1" x14ac:dyDescent="0.2">
      <c r="A26" s="652"/>
      <c r="B26" s="652"/>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row>
    <row r="27" spans="1:39" hidden="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row>
    <row r="28" spans="1:39" hidden="1" x14ac:dyDescent="0.2">
      <c r="A28" s="652"/>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row>
    <row r="29" spans="1:39" hidden="1" x14ac:dyDescent="0.2">
      <c r="A29" s="652"/>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row>
    <row r="30" spans="1:39"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row>
    <row r="31" spans="1:39"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row>
    <row r="32" spans="1:39"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row>
    <row r="33" spans="1:39"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row>
    <row r="34" spans="1:39"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row>
    <row r="35" spans="1:39"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row>
    <row r="36" spans="1:39"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2"/>
    </row>
    <row r="133" spans="1:39"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c r="AH133" s="652"/>
      <c r="AI133" s="652"/>
      <c r="AJ133" s="652"/>
      <c r="AK133" s="652"/>
      <c r="AL133" s="652"/>
      <c r="AM133" s="652"/>
    </row>
    <row r="134" spans="1:39" hidden="1" x14ac:dyDescent="0.2">
      <c r="A134" s="652"/>
      <c r="B134" s="652"/>
      <c r="C134" s="652"/>
      <c r="D134" s="652"/>
      <c r="E134" s="652"/>
      <c r="F134" s="652"/>
      <c r="G134" s="652"/>
      <c r="H134" s="652"/>
      <c r="I134" s="652"/>
      <c r="J134" s="652"/>
      <c r="K134" s="652"/>
      <c r="L134" s="657"/>
      <c r="M134" s="657"/>
      <c r="N134" s="657"/>
      <c r="O134" s="652"/>
      <c r="P134" s="652"/>
      <c r="Q134" s="652"/>
      <c r="R134" s="652"/>
      <c r="S134" s="652"/>
      <c r="T134" s="657"/>
      <c r="U134" s="657"/>
      <c r="V134" s="657"/>
      <c r="W134" s="652"/>
      <c r="X134" s="652"/>
      <c r="Y134" s="652"/>
      <c r="Z134" s="652"/>
      <c r="AA134" s="652"/>
      <c r="AB134" s="652"/>
      <c r="AC134" s="652"/>
      <c r="AD134" s="652"/>
      <c r="AE134" s="652"/>
      <c r="AF134" s="652"/>
      <c r="AG134" s="652"/>
      <c r="AH134" s="652"/>
      <c r="AI134" s="652"/>
      <c r="AJ134" s="652"/>
      <c r="AK134" s="652"/>
      <c r="AL134" s="652"/>
      <c r="AM134" s="652"/>
    </row>
    <row r="135" spans="1:39" hidden="1" x14ac:dyDescent="0.2">
      <c r="A135" s="652"/>
      <c r="B135" s="652"/>
      <c r="C135" s="652"/>
      <c r="D135" s="652"/>
      <c r="E135" s="652"/>
      <c r="F135" s="652"/>
      <c r="G135" s="652"/>
      <c r="H135" s="652"/>
      <c r="I135" s="652"/>
      <c r="J135" s="652"/>
      <c r="K135" s="652"/>
      <c r="L135" s="657"/>
      <c r="M135" s="657"/>
      <c r="N135" s="657"/>
      <c r="O135" s="652"/>
      <c r="P135" s="652"/>
      <c r="Q135" s="652"/>
      <c r="R135" s="652"/>
      <c r="S135" s="652"/>
      <c r="T135" s="657"/>
      <c r="U135" s="657"/>
      <c r="V135" s="657"/>
      <c r="W135" s="652"/>
      <c r="X135" s="652"/>
      <c r="Y135" s="652"/>
      <c r="Z135" s="652"/>
      <c r="AA135" s="652"/>
      <c r="AB135" s="652"/>
      <c r="AC135" s="652"/>
      <c r="AD135" s="652"/>
      <c r="AE135" s="652"/>
      <c r="AF135" s="652"/>
      <c r="AG135" s="652"/>
      <c r="AH135" s="652"/>
      <c r="AI135" s="652"/>
      <c r="AJ135" s="652"/>
      <c r="AK135" s="652"/>
      <c r="AL135" s="652"/>
      <c r="AM135" s="652"/>
    </row>
    <row r="136" spans="1:39" hidden="1" x14ac:dyDescent="0.2">
      <c r="A136" s="652"/>
      <c r="B136" s="652"/>
      <c r="C136" s="652"/>
      <c r="D136" s="652"/>
      <c r="E136" s="652"/>
      <c r="F136" s="652"/>
      <c r="G136" s="652"/>
      <c r="H136" s="652"/>
      <c r="I136" s="652"/>
      <c r="J136" s="652"/>
      <c r="K136" s="652"/>
      <c r="L136" s="657"/>
      <c r="M136" s="657"/>
      <c r="N136" s="657"/>
      <c r="O136" s="652"/>
      <c r="P136" s="652"/>
      <c r="Q136" s="652"/>
      <c r="R136" s="652"/>
      <c r="S136" s="652"/>
      <c r="T136" s="657"/>
      <c r="U136" s="657"/>
      <c r="V136" s="657"/>
      <c r="W136" s="652"/>
      <c r="X136" s="652"/>
      <c r="Y136" s="652"/>
      <c r="Z136" s="652"/>
      <c r="AA136" s="652"/>
      <c r="AB136" s="652"/>
      <c r="AC136" s="652"/>
      <c r="AD136" s="652"/>
      <c r="AE136" s="652"/>
      <c r="AF136" s="652"/>
      <c r="AG136" s="652"/>
      <c r="AH136" s="652"/>
      <c r="AI136" s="652"/>
      <c r="AJ136" s="652"/>
      <c r="AK136" s="652"/>
      <c r="AL136" s="652"/>
      <c r="AM136" s="652"/>
    </row>
    <row r="137" spans="1:39" hidden="1" x14ac:dyDescent="0.2">
      <c r="A137" s="652"/>
      <c r="B137" s="652"/>
      <c r="C137" s="652"/>
      <c r="D137" s="652"/>
      <c r="E137" s="652"/>
      <c r="F137" s="652"/>
      <c r="G137" s="652"/>
      <c r="H137" s="652"/>
      <c r="I137" s="652"/>
      <c r="J137" s="652"/>
      <c r="K137" s="652"/>
      <c r="L137" s="657"/>
      <c r="M137" s="657"/>
      <c r="N137" s="657"/>
      <c r="O137" s="652"/>
      <c r="P137" s="652"/>
      <c r="Q137" s="652"/>
      <c r="R137" s="652"/>
      <c r="S137" s="652"/>
      <c r="T137" s="657"/>
      <c r="U137" s="657"/>
      <c r="V137" s="657"/>
      <c r="W137" s="652"/>
      <c r="X137" s="652"/>
      <c r="Y137" s="652"/>
      <c r="Z137" s="652"/>
      <c r="AA137" s="652"/>
      <c r="AB137" s="652"/>
      <c r="AC137" s="652"/>
      <c r="AD137" s="652"/>
      <c r="AE137" s="652"/>
      <c r="AF137" s="652"/>
      <c r="AG137" s="652"/>
      <c r="AH137" s="652"/>
      <c r="AI137" s="652"/>
      <c r="AJ137" s="652"/>
      <c r="AK137" s="652"/>
      <c r="AL137" s="652"/>
      <c r="AM137" s="652"/>
    </row>
    <row r="138" spans="1:39" hidden="1" x14ac:dyDescent="0.2">
      <c r="A138" s="652"/>
      <c r="B138" s="652"/>
      <c r="C138" s="652"/>
      <c r="D138" s="652"/>
      <c r="E138" s="652"/>
      <c r="F138" s="652"/>
      <c r="G138" s="652"/>
      <c r="H138" s="652"/>
      <c r="I138" s="652"/>
      <c r="J138" s="652"/>
      <c r="K138" s="652"/>
      <c r="L138" s="657"/>
      <c r="M138" s="657"/>
      <c r="N138" s="657"/>
      <c r="O138" s="652"/>
      <c r="P138" s="652"/>
      <c r="Q138" s="652"/>
      <c r="R138" s="652"/>
      <c r="S138" s="652"/>
      <c r="T138" s="657"/>
      <c r="U138" s="657"/>
      <c r="V138" s="657"/>
      <c r="W138" s="652"/>
      <c r="X138" s="652"/>
      <c r="Y138" s="652"/>
      <c r="Z138" s="652"/>
      <c r="AA138" s="652"/>
      <c r="AB138" s="652"/>
      <c r="AC138" s="652"/>
      <c r="AD138" s="652"/>
      <c r="AE138" s="652"/>
      <c r="AF138" s="652"/>
      <c r="AG138" s="652"/>
      <c r="AH138" s="652"/>
      <c r="AI138" s="652"/>
      <c r="AJ138" s="652"/>
      <c r="AK138" s="652"/>
      <c r="AL138" s="652"/>
      <c r="AM138" s="652"/>
    </row>
    <row r="139" spans="1:39" hidden="1" x14ac:dyDescent="0.2">
      <c r="A139" s="652"/>
      <c r="B139" s="652"/>
      <c r="C139" s="652"/>
      <c r="D139" s="652"/>
      <c r="E139" s="652"/>
      <c r="F139" s="652"/>
      <c r="G139" s="652"/>
      <c r="H139" s="652"/>
      <c r="I139" s="652"/>
      <c r="J139" s="652"/>
      <c r="K139" s="652"/>
      <c r="L139" s="657"/>
      <c r="M139" s="657"/>
      <c r="N139" s="657"/>
      <c r="O139" s="652"/>
      <c r="P139" s="652"/>
      <c r="Q139" s="652"/>
      <c r="R139" s="652"/>
      <c r="S139" s="652"/>
      <c r="T139" s="657"/>
      <c r="U139" s="657"/>
      <c r="V139" s="657"/>
      <c r="W139" s="652"/>
      <c r="X139" s="652"/>
      <c r="Y139" s="652"/>
      <c r="Z139" s="652"/>
      <c r="AA139" s="652"/>
      <c r="AB139" s="652"/>
      <c r="AC139" s="652"/>
      <c r="AD139" s="652"/>
      <c r="AE139" s="652"/>
      <c r="AF139" s="652"/>
      <c r="AG139" s="652"/>
      <c r="AH139" s="652"/>
      <c r="AI139" s="652"/>
      <c r="AJ139" s="652"/>
      <c r="AK139" s="652"/>
      <c r="AL139" s="652"/>
      <c r="AM139" s="652"/>
    </row>
    <row r="140" spans="1:39" hidden="1" x14ac:dyDescent="0.2">
      <c r="A140" s="652"/>
      <c r="B140" s="652"/>
      <c r="C140" s="652"/>
      <c r="D140" s="652"/>
      <c r="E140" s="652"/>
      <c r="F140" s="652"/>
      <c r="G140" s="652"/>
      <c r="H140" s="652"/>
      <c r="I140" s="652"/>
      <c r="J140" s="652"/>
      <c r="K140" s="652"/>
      <c r="L140" s="657"/>
      <c r="M140" s="657"/>
      <c r="N140" s="657"/>
      <c r="O140" s="652"/>
      <c r="P140" s="652"/>
      <c r="Q140" s="652"/>
      <c r="R140" s="652"/>
      <c r="S140" s="652"/>
      <c r="T140" s="657"/>
      <c r="U140" s="657"/>
      <c r="V140" s="657"/>
      <c r="W140" s="652"/>
      <c r="X140" s="652"/>
      <c r="Y140" s="652"/>
      <c r="Z140" s="652"/>
      <c r="AA140" s="652"/>
      <c r="AB140" s="652"/>
      <c r="AC140" s="652"/>
      <c r="AD140" s="652"/>
      <c r="AE140" s="652"/>
      <c r="AF140" s="652"/>
      <c r="AG140" s="652"/>
      <c r="AH140" s="652"/>
      <c r="AI140" s="652"/>
      <c r="AJ140" s="652"/>
      <c r="AK140" s="652"/>
      <c r="AL140" s="652"/>
      <c r="AM140" s="652"/>
    </row>
    <row r="141" spans="1:39" hidden="1" x14ac:dyDescent="0.2">
      <c r="A141" s="652"/>
      <c r="B141" s="652"/>
      <c r="C141" s="652"/>
      <c r="D141" s="652"/>
      <c r="E141" s="652"/>
      <c r="F141" s="652"/>
      <c r="G141" s="652"/>
      <c r="H141" s="652"/>
      <c r="I141" s="652"/>
      <c r="J141" s="652"/>
      <c r="K141" s="652"/>
      <c r="L141" s="657"/>
      <c r="M141" s="657"/>
      <c r="N141" s="657"/>
      <c r="O141" s="652"/>
      <c r="P141" s="652"/>
      <c r="Q141" s="652"/>
      <c r="R141" s="652"/>
      <c r="S141" s="652"/>
      <c r="T141" s="657"/>
      <c r="U141" s="657"/>
      <c r="V141" s="657"/>
      <c r="W141" s="652"/>
      <c r="X141" s="652"/>
      <c r="Y141" s="652"/>
      <c r="Z141" s="652"/>
      <c r="AA141" s="652"/>
      <c r="AB141" s="652"/>
      <c r="AC141" s="652"/>
      <c r="AD141" s="652"/>
      <c r="AE141" s="652"/>
      <c r="AF141" s="652"/>
      <c r="AG141" s="652"/>
      <c r="AH141" s="652"/>
      <c r="AI141" s="652"/>
      <c r="AJ141" s="652"/>
      <c r="AK141" s="652"/>
      <c r="AL141" s="652"/>
      <c r="AM141" s="652"/>
    </row>
    <row r="142" spans="1:39" hidden="1" x14ac:dyDescent="0.2">
      <c r="A142" s="652"/>
      <c r="B142" s="652"/>
      <c r="C142" s="652"/>
      <c r="D142" s="652"/>
      <c r="E142" s="652"/>
      <c r="F142" s="652"/>
      <c r="G142" s="652"/>
      <c r="H142" s="652"/>
      <c r="I142" s="652"/>
      <c r="J142" s="652"/>
      <c r="K142" s="652"/>
      <c r="L142" s="657"/>
      <c r="M142" s="657"/>
      <c r="N142" s="657"/>
      <c r="O142" s="652"/>
      <c r="P142" s="652"/>
      <c r="Q142" s="652"/>
      <c r="R142" s="652"/>
      <c r="S142" s="652"/>
      <c r="T142" s="657"/>
      <c r="U142" s="657"/>
      <c r="V142" s="657"/>
      <c r="W142" s="652"/>
      <c r="X142" s="652"/>
      <c r="Y142" s="652"/>
      <c r="Z142" s="652"/>
      <c r="AA142" s="652"/>
      <c r="AB142" s="652"/>
      <c r="AC142" s="652"/>
      <c r="AD142" s="652"/>
      <c r="AE142" s="652"/>
      <c r="AF142" s="652"/>
      <c r="AG142" s="652"/>
      <c r="AH142" s="652"/>
      <c r="AI142" s="652"/>
      <c r="AJ142" s="652"/>
      <c r="AK142" s="652"/>
      <c r="AL142" s="652"/>
      <c r="AM142" s="652"/>
    </row>
    <row r="143" spans="1:39" hidden="1" x14ac:dyDescent="0.2">
      <c r="A143" s="652"/>
      <c r="B143" s="652"/>
      <c r="C143" s="652"/>
      <c r="D143" s="652"/>
      <c r="E143" s="652"/>
      <c r="F143" s="652"/>
      <c r="G143" s="652"/>
      <c r="H143" s="652"/>
      <c r="I143" s="652"/>
      <c r="J143" s="652"/>
      <c r="K143" s="652"/>
      <c r="L143" s="657"/>
      <c r="M143" s="657"/>
      <c r="N143" s="657"/>
      <c r="O143" s="652"/>
      <c r="P143" s="652"/>
      <c r="Q143" s="652"/>
      <c r="R143" s="652"/>
      <c r="S143" s="652"/>
      <c r="T143" s="657"/>
      <c r="U143" s="657"/>
      <c r="V143" s="657"/>
      <c r="W143" s="652"/>
      <c r="X143" s="652"/>
      <c r="Y143" s="652"/>
      <c r="Z143" s="652"/>
      <c r="AA143" s="652"/>
      <c r="AB143" s="652"/>
      <c r="AC143" s="652"/>
      <c r="AD143" s="652"/>
      <c r="AE143" s="652"/>
      <c r="AF143" s="652"/>
      <c r="AG143" s="652"/>
      <c r="AH143" s="652"/>
      <c r="AI143" s="652"/>
      <c r="AJ143" s="652"/>
      <c r="AK143" s="652"/>
      <c r="AL143" s="652"/>
      <c r="AM143" s="652"/>
    </row>
    <row r="144" spans="1:39" hidden="1" x14ac:dyDescent="0.2">
      <c r="A144" s="652"/>
      <c r="B144" s="652"/>
      <c r="C144" s="652"/>
      <c r="D144" s="652"/>
      <c r="E144" s="652"/>
      <c r="F144" s="652"/>
      <c r="G144" s="652"/>
      <c r="H144" s="652"/>
      <c r="I144" s="652"/>
      <c r="J144" s="652"/>
      <c r="K144" s="652"/>
      <c r="L144" s="657"/>
      <c r="M144" s="657"/>
      <c r="N144" s="657"/>
      <c r="O144" s="652"/>
      <c r="P144" s="652"/>
      <c r="Q144" s="652"/>
      <c r="R144" s="652"/>
      <c r="S144" s="652"/>
      <c r="T144" s="657"/>
      <c r="U144" s="657"/>
      <c r="V144" s="657"/>
      <c r="W144" s="652"/>
      <c r="X144" s="652"/>
      <c r="Y144" s="652"/>
      <c r="Z144" s="652"/>
      <c r="AA144" s="652"/>
      <c r="AB144" s="652"/>
      <c r="AC144" s="652"/>
      <c r="AD144" s="652"/>
      <c r="AE144" s="652"/>
      <c r="AF144" s="652"/>
      <c r="AG144" s="652"/>
      <c r="AH144" s="652"/>
      <c r="AI144" s="652"/>
      <c r="AJ144" s="652"/>
      <c r="AK144" s="652"/>
      <c r="AL144" s="652"/>
      <c r="AM144" s="652"/>
    </row>
    <row r="145" spans="1:39"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652"/>
      <c r="AF145" s="652"/>
      <c r="AG145" s="652"/>
      <c r="AH145" s="652"/>
      <c r="AI145" s="652"/>
      <c r="AJ145" s="652"/>
      <c r="AK145" s="652"/>
      <c r="AL145" s="652"/>
      <c r="AM145" s="652"/>
    </row>
    <row r="146" spans="1:39"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652"/>
      <c r="AF146" s="652"/>
      <c r="AG146" s="652"/>
      <c r="AH146" s="652"/>
      <c r="AI146" s="652"/>
      <c r="AJ146" s="652"/>
      <c r="AK146" s="652"/>
      <c r="AL146" s="652"/>
      <c r="AM146" s="652"/>
    </row>
    <row r="147" spans="1:39"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c r="AI148" s="652"/>
      <c r="AJ148" s="652"/>
      <c r="AK148" s="652"/>
      <c r="AL148" s="652"/>
      <c r="AM148" s="652"/>
    </row>
    <row r="149" spans="1:39"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c r="AH149" s="652"/>
      <c r="AI149" s="652"/>
      <c r="AJ149" s="652"/>
      <c r="AK149" s="652"/>
      <c r="AL149" s="652"/>
      <c r="AM149" s="652"/>
    </row>
    <row r="150" spans="1:39" hidden="1" x14ac:dyDescent="0.2">
      <c r="A150" s="652"/>
      <c r="B150" s="652"/>
      <c r="C150" s="652"/>
      <c r="D150" s="652"/>
      <c r="E150" s="652"/>
      <c r="F150" s="652"/>
      <c r="G150" s="652"/>
      <c r="H150" s="652"/>
      <c r="I150" s="652"/>
      <c r="J150" s="652"/>
      <c r="K150" s="652"/>
      <c r="L150" s="652"/>
      <c r="M150" s="652"/>
      <c r="N150" s="652"/>
      <c r="O150" s="652"/>
      <c r="P150" s="652"/>
      <c r="Q150" s="652"/>
      <c r="R150" s="652"/>
      <c r="S150" s="652"/>
      <c r="T150" s="652"/>
      <c r="U150" s="652"/>
      <c r="V150" s="652"/>
      <c r="W150" s="652"/>
      <c r="X150" s="652"/>
      <c r="Y150" s="652"/>
      <c r="Z150" s="652"/>
      <c r="AA150" s="652"/>
      <c r="AB150" s="652"/>
      <c r="AC150" s="652"/>
      <c r="AD150" s="652"/>
      <c r="AE150" s="652"/>
      <c r="AF150" s="652"/>
      <c r="AG150" s="652"/>
      <c r="AH150" s="652"/>
      <c r="AI150" s="652"/>
      <c r="AJ150" s="652"/>
      <c r="AK150" s="652"/>
      <c r="AL150" s="652"/>
      <c r="AM150" s="652"/>
    </row>
    <row r="151" spans="1:39" hidden="1" x14ac:dyDescent="0.2">
      <c r="A151" s="652"/>
      <c r="B151" s="652"/>
      <c r="C151" s="652"/>
      <c r="D151" s="652"/>
      <c r="E151" s="652"/>
      <c r="F151" s="652"/>
      <c r="G151" s="652"/>
      <c r="H151" s="652"/>
      <c r="I151" s="652"/>
      <c r="J151" s="652"/>
      <c r="K151" s="652"/>
      <c r="L151" s="652"/>
      <c r="M151" s="652"/>
      <c r="N151" s="652"/>
      <c r="O151" s="652"/>
      <c r="P151" s="652"/>
      <c r="Q151" s="652"/>
      <c r="R151" s="652"/>
      <c r="S151" s="652"/>
      <c r="T151" s="652"/>
      <c r="U151" s="652"/>
      <c r="V151" s="652"/>
      <c r="W151" s="652"/>
      <c r="X151" s="652"/>
      <c r="Y151" s="652"/>
      <c r="Z151" s="652"/>
      <c r="AA151" s="652"/>
      <c r="AB151" s="652"/>
      <c r="AC151" s="652"/>
      <c r="AD151" s="652"/>
      <c r="AE151" s="652"/>
      <c r="AF151" s="652"/>
      <c r="AG151" s="652"/>
      <c r="AH151" s="652"/>
      <c r="AI151" s="652"/>
      <c r="AJ151" s="652"/>
      <c r="AK151" s="652"/>
      <c r="AL151" s="652"/>
      <c r="AM151" s="652"/>
    </row>
    <row r="152" spans="1:39" hidden="1" x14ac:dyDescent="0.2">
      <c r="A152" s="652"/>
      <c r="B152" s="652"/>
      <c r="C152" s="652"/>
      <c r="D152" s="652"/>
      <c r="E152" s="652"/>
      <c r="F152" s="652"/>
      <c r="G152" s="652"/>
      <c r="H152" s="652"/>
      <c r="I152" s="652"/>
      <c r="J152" s="652"/>
      <c r="K152" s="652"/>
      <c r="L152" s="652"/>
      <c r="M152" s="652"/>
      <c r="N152" s="652"/>
      <c r="O152" s="652"/>
      <c r="P152" s="652"/>
      <c r="Q152" s="652"/>
      <c r="R152" s="652"/>
      <c r="S152" s="652"/>
      <c r="T152" s="652"/>
      <c r="U152" s="652"/>
      <c r="V152" s="652"/>
      <c r="W152" s="652"/>
      <c r="X152" s="652"/>
      <c r="Y152" s="652"/>
      <c r="Z152" s="652"/>
      <c r="AA152" s="652"/>
      <c r="AB152" s="652"/>
      <c r="AC152" s="652"/>
      <c r="AD152" s="652"/>
      <c r="AE152" s="652"/>
      <c r="AF152" s="652"/>
      <c r="AG152" s="652"/>
      <c r="AH152" s="652"/>
      <c r="AI152" s="652"/>
      <c r="AJ152" s="652"/>
      <c r="AK152" s="652"/>
      <c r="AL152" s="652"/>
      <c r="AM152" s="652"/>
    </row>
    <row r="153" spans="1:39" hidden="1" x14ac:dyDescent="0.2">
      <c r="A153" s="652"/>
      <c r="B153" s="652"/>
      <c r="C153" s="652"/>
      <c r="D153" s="652"/>
      <c r="E153" s="652"/>
      <c r="F153" s="652"/>
      <c r="G153" s="652"/>
      <c r="H153" s="652"/>
      <c r="I153" s="652"/>
      <c r="J153" s="652"/>
      <c r="K153" s="652"/>
      <c r="L153" s="652"/>
      <c r="M153" s="652"/>
      <c r="N153" s="652"/>
      <c r="O153" s="652"/>
      <c r="P153" s="652"/>
      <c r="Q153" s="652"/>
      <c r="R153" s="652"/>
      <c r="S153" s="652"/>
      <c r="T153" s="652"/>
      <c r="U153" s="652"/>
      <c r="V153" s="652"/>
      <c r="W153" s="652"/>
      <c r="X153" s="652"/>
      <c r="Y153" s="652"/>
      <c r="Z153" s="652"/>
      <c r="AA153" s="652"/>
      <c r="AB153" s="652"/>
      <c r="AC153" s="652"/>
      <c r="AD153" s="652"/>
      <c r="AE153" s="652"/>
      <c r="AF153" s="652"/>
      <c r="AG153" s="652"/>
      <c r="AH153" s="652"/>
      <c r="AI153" s="652"/>
      <c r="AJ153" s="652"/>
      <c r="AK153" s="652"/>
      <c r="AL153" s="652"/>
      <c r="AM153" s="652"/>
    </row>
    <row r="154" spans="1:39" hidden="1" x14ac:dyDescent="0.2">
      <c r="A154" s="652"/>
      <c r="B154" s="652"/>
      <c r="C154" s="652"/>
      <c r="D154" s="652"/>
      <c r="E154" s="652"/>
      <c r="F154" s="652"/>
      <c r="G154" s="652"/>
      <c r="H154" s="652"/>
      <c r="I154" s="652"/>
      <c r="J154" s="652"/>
      <c r="K154" s="652"/>
      <c r="L154" s="652"/>
      <c r="M154" s="652"/>
      <c r="N154" s="652"/>
      <c r="O154" s="652"/>
      <c r="P154" s="652"/>
      <c r="Q154" s="652"/>
      <c r="R154" s="652"/>
      <c r="S154" s="652"/>
      <c r="T154" s="652"/>
      <c r="U154" s="652"/>
      <c r="V154" s="652"/>
      <c r="W154" s="652"/>
      <c r="X154" s="652"/>
      <c r="Y154" s="652"/>
      <c r="Z154" s="652"/>
      <c r="AA154" s="652"/>
      <c r="AB154" s="652"/>
      <c r="AC154" s="652"/>
      <c r="AD154" s="652"/>
      <c r="AE154" s="652"/>
      <c r="AF154" s="652"/>
      <c r="AG154" s="652"/>
      <c r="AH154" s="652"/>
      <c r="AI154" s="652"/>
      <c r="AJ154" s="652"/>
      <c r="AK154" s="652"/>
      <c r="AL154" s="652"/>
      <c r="AM154" s="652"/>
    </row>
    <row r="155" spans="1:39" hidden="1" x14ac:dyDescent="0.2">
      <c r="A155" s="652"/>
      <c r="B155" s="652"/>
      <c r="C155" s="652"/>
      <c r="D155" s="652"/>
      <c r="E155" s="652"/>
      <c r="F155" s="652"/>
      <c r="G155" s="652"/>
      <c r="H155" s="652"/>
      <c r="I155" s="652"/>
      <c r="J155" s="652"/>
      <c r="K155" s="652"/>
      <c r="L155" s="652"/>
      <c r="M155" s="652"/>
      <c r="N155" s="652"/>
      <c r="O155" s="652"/>
      <c r="P155" s="652"/>
      <c r="Q155" s="652"/>
      <c r="R155" s="652"/>
      <c r="S155" s="652"/>
      <c r="T155" s="652"/>
      <c r="U155" s="652"/>
      <c r="V155" s="652"/>
      <c r="W155" s="652"/>
      <c r="X155" s="652"/>
      <c r="Y155" s="652"/>
      <c r="Z155" s="652"/>
      <c r="AA155" s="652"/>
      <c r="AB155" s="652"/>
      <c r="AC155" s="652"/>
      <c r="AD155" s="652"/>
      <c r="AE155" s="652"/>
      <c r="AF155" s="652"/>
      <c r="AG155" s="652"/>
      <c r="AH155" s="652"/>
      <c r="AI155" s="652"/>
      <c r="AJ155" s="652"/>
      <c r="AK155" s="652"/>
      <c r="AL155" s="652"/>
      <c r="AM155" s="652"/>
    </row>
    <row r="156" spans="1:39" hidden="1" x14ac:dyDescent="0.2">
      <c r="A156" s="652"/>
      <c r="B156" s="652"/>
      <c r="C156" s="652"/>
      <c r="D156" s="652"/>
      <c r="E156" s="652"/>
      <c r="F156" s="652"/>
      <c r="G156" s="652"/>
      <c r="H156" s="652"/>
      <c r="I156" s="652"/>
      <c r="J156" s="652"/>
      <c r="K156" s="652"/>
      <c r="L156" s="652"/>
      <c r="M156" s="652"/>
      <c r="N156" s="652"/>
      <c r="O156" s="652"/>
      <c r="P156" s="652"/>
      <c r="Q156" s="652"/>
      <c r="R156" s="652"/>
      <c r="S156" s="652"/>
      <c r="T156" s="652"/>
      <c r="U156" s="652"/>
      <c r="V156" s="652"/>
      <c r="W156" s="652"/>
      <c r="X156" s="652"/>
      <c r="Y156" s="652"/>
      <c r="Z156" s="652"/>
      <c r="AA156" s="652"/>
      <c r="AB156" s="652"/>
      <c r="AC156" s="652"/>
      <c r="AD156" s="652"/>
      <c r="AE156" s="652"/>
      <c r="AF156" s="652"/>
      <c r="AG156" s="652"/>
      <c r="AH156" s="652"/>
      <c r="AI156" s="652"/>
      <c r="AJ156" s="652"/>
      <c r="AK156" s="652"/>
      <c r="AL156" s="652"/>
      <c r="AM156" s="652"/>
    </row>
    <row r="157" spans="1:39" hidden="1" x14ac:dyDescent="0.2">
      <c r="A157" s="652"/>
      <c r="B157" s="652"/>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652"/>
      <c r="AK157" s="652"/>
      <c r="AL157" s="652"/>
      <c r="AM157" s="652"/>
    </row>
    <row r="158" spans="1:39" hidden="1" x14ac:dyDescent="0.2">
      <c r="A158" s="652"/>
      <c r="B158" s="652"/>
      <c r="C158" s="652"/>
      <c r="D158" s="652"/>
      <c r="E158" s="652"/>
      <c r="F158" s="652"/>
      <c r="G158" s="652"/>
      <c r="H158" s="652"/>
      <c r="I158" s="652"/>
      <c r="J158" s="652"/>
      <c r="K158" s="652"/>
      <c r="L158" s="652"/>
      <c r="M158" s="652"/>
      <c r="N158" s="652"/>
      <c r="O158" s="652"/>
      <c r="P158" s="652"/>
      <c r="Q158" s="652"/>
      <c r="R158" s="652"/>
      <c r="S158" s="652"/>
      <c r="T158" s="652"/>
      <c r="U158" s="652"/>
      <c r="V158" s="652"/>
      <c r="W158" s="652"/>
      <c r="X158" s="652"/>
      <c r="Y158" s="652"/>
      <c r="Z158" s="652"/>
      <c r="AA158" s="652"/>
      <c r="AB158" s="652"/>
      <c r="AC158" s="652"/>
      <c r="AD158" s="652"/>
      <c r="AE158" s="652"/>
      <c r="AF158" s="652"/>
      <c r="AG158" s="652"/>
      <c r="AH158" s="652"/>
      <c r="AI158" s="652"/>
      <c r="AJ158" s="652"/>
      <c r="AK158" s="652"/>
      <c r="AL158" s="652"/>
      <c r="AM158" s="652"/>
    </row>
    <row r="159" spans="1:39" hidden="1" x14ac:dyDescent="0.2">
      <c r="A159" s="652"/>
      <c r="B159" s="652"/>
      <c r="C159" s="652"/>
      <c r="D159" s="652"/>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652"/>
      <c r="AF159" s="652"/>
      <c r="AG159" s="652"/>
      <c r="AH159" s="652"/>
      <c r="AI159" s="652"/>
      <c r="AJ159" s="652"/>
      <c r="AK159" s="652"/>
      <c r="AL159" s="652"/>
      <c r="AM159" s="652"/>
    </row>
    <row r="160" spans="1:39" hidden="1" x14ac:dyDescent="0.2">
      <c r="A160" s="652"/>
      <c r="B160" s="652"/>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row>
    <row r="161" spans="1:39"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row>
    <row r="162" spans="1:39" hidden="1" x14ac:dyDescent="0.2">
      <c r="A162" s="652"/>
      <c r="B162" s="652"/>
      <c r="C162" s="652"/>
      <c r="D162" s="652"/>
      <c r="E162" s="652"/>
      <c r="F162" s="652"/>
      <c r="G162" s="652"/>
      <c r="H162" s="652"/>
      <c r="I162" s="652"/>
      <c r="J162" s="652"/>
      <c r="K162" s="652"/>
      <c r="L162" s="652"/>
      <c r="M162" s="652"/>
      <c r="N162" s="652"/>
      <c r="O162" s="652"/>
      <c r="P162" s="652"/>
      <c r="Q162" s="652"/>
      <c r="R162" s="652"/>
      <c r="S162" s="652"/>
      <c r="T162" s="652"/>
      <c r="U162" s="652"/>
      <c r="V162" s="652"/>
      <c r="W162" s="652"/>
      <c r="X162" s="652"/>
      <c r="Y162" s="652"/>
      <c r="Z162" s="652"/>
      <c r="AA162" s="652"/>
      <c r="AB162" s="652"/>
      <c r="AC162" s="652"/>
      <c r="AD162" s="652"/>
      <c r="AE162" s="652"/>
      <c r="AF162" s="652"/>
      <c r="AG162" s="652"/>
      <c r="AH162" s="652"/>
      <c r="AI162" s="652"/>
      <c r="AJ162" s="652"/>
      <c r="AK162" s="652"/>
      <c r="AL162" s="652"/>
      <c r="AM162" s="652"/>
    </row>
    <row r="163" spans="1:39" hidden="1" x14ac:dyDescent="0.2">
      <c r="A163" s="652"/>
      <c r="B163" s="652"/>
      <c r="C163" s="652"/>
      <c r="D163" s="652"/>
      <c r="E163" s="652"/>
      <c r="F163" s="652"/>
      <c r="G163" s="652"/>
      <c r="H163" s="652"/>
      <c r="I163" s="652"/>
      <c r="J163" s="652"/>
      <c r="K163" s="652"/>
      <c r="L163" s="657"/>
      <c r="M163" s="657"/>
      <c r="N163" s="657"/>
      <c r="O163" s="652"/>
      <c r="P163" s="652"/>
      <c r="Q163" s="652"/>
      <c r="R163" s="652"/>
      <c r="S163" s="652"/>
      <c r="T163" s="657"/>
      <c r="U163" s="657"/>
      <c r="V163" s="657"/>
      <c r="W163" s="652"/>
      <c r="X163" s="652"/>
      <c r="Y163" s="652"/>
      <c r="Z163" s="652"/>
      <c r="AA163" s="652"/>
      <c r="AB163" s="652"/>
      <c r="AC163" s="652"/>
      <c r="AD163" s="652"/>
      <c r="AE163" s="652"/>
      <c r="AF163" s="652"/>
      <c r="AG163" s="652"/>
      <c r="AH163" s="652"/>
      <c r="AI163" s="652"/>
      <c r="AJ163" s="652"/>
      <c r="AK163" s="652"/>
      <c r="AL163" s="652"/>
      <c r="AM163" s="652"/>
    </row>
    <row r="164" spans="1:39" hidden="1" x14ac:dyDescent="0.2">
      <c r="A164" s="652"/>
      <c r="B164" s="652"/>
      <c r="C164" s="652"/>
      <c r="D164" s="652"/>
      <c r="E164" s="652"/>
      <c r="F164" s="652"/>
      <c r="G164" s="652"/>
      <c r="H164" s="652"/>
      <c r="I164" s="652"/>
      <c r="J164" s="652"/>
      <c r="K164" s="652"/>
      <c r="L164" s="657"/>
      <c r="M164" s="657"/>
      <c r="N164" s="657"/>
      <c r="O164" s="652"/>
      <c r="P164" s="652"/>
      <c r="Q164" s="652"/>
      <c r="R164" s="652"/>
      <c r="S164" s="652"/>
      <c r="T164" s="657"/>
      <c r="U164" s="657"/>
      <c r="V164" s="657"/>
      <c r="W164" s="652"/>
      <c r="X164" s="652"/>
      <c r="Y164" s="652"/>
      <c r="Z164" s="652"/>
      <c r="AA164" s="652"/>
      <c r="AB164" s="652"/>
      <c r="AC164" s="652"/>
      <c r="AD164" s="652"/>
      <c r="AE164" s="652"/>
      <c r="AF164" s="652"/>
      <c r="AG164" s="652"/>
      <c r="AH164" s="652"/>
      <c r="AI164" s="652"/>
      <c r="AJ164" s="652"/>
      <c r="AK164" s="652"/>
      <c r="AL164" s="652"/>
      <c r="AM164" s="652"/>
    </row>
    <row r="165" spans="1:39" hidden="1" x14ac:dyDescent="0.2">
      <c r="A165" s="652"/>
      <c r="B165" s="652"/>
      <c r="C165" s="652"/>
      <c r="D165" s="652"/>
      <c r="E165" s="652"/>
      <c r="F165" s="652"/>
      <c r="G165" s="652"/>
      <c r="H165" s="652"/>
      <c r="I165" s="652"/>
      <c r="J165" s="652"/>
      <c r="K165" s="652"/>
      <c r="L165" s="657"/>
      <c r="M165" s="657"/>
      <c r="N165" s="657"/>
      <c r="O165" s="652"/>
      <c r="P165" s="652"/>
      <c r="Q165" s="652"/>
      <c r="R165" s="652"/>
      <c r="S165" s="652"/>
      <c r="T165" s="657"/>
      <c r="U165" s="657"/>
      <c r="V165" s="657"/>
      <c r="W165" s="652"/>
      <c r="X165" s="652"/>
      <c r="Y165" s="652"/>
      <c r="Z165" s="652"/>
      <c r="AA165" s="652"/>
      <c r="AB165" s="652"/>
      <c r="AC165" s="652"/>
      <c r="AD165" s="652"/>
      <c r="AE165" s="652"/>
      <c r="AF165" s="652"/>
      <c r="AG165" s="652"/>
      <c r="AH165" s="652"/>
      <c r="AI165" s="652"/>
      <c r="AJ165" s="652"/>
      <c r="AK165" s="652"/>
      <c r="AL165" s="652"/>
      <c r="AM165" s="652"/>
    </row>
    <row r="166" spans="1:39" hidden="1" x14ac:dyDescent="0.2">
      <c r="A166" s="652"/>
      <c r="B166" s="652"/>
      <c r="C166" s="652"/>
      <c r="D166" s="652"/>
      <c r="E166" s="652"/>
      <c r="F166" s="652"/>
      <c r="G166" s="652"/>
      <c r="H166" s="652"/>
      <c r="I166" s="652"/>
      <c r="J166" s="652"/>
      <c r="K166" s="652"/>
      <c r="L166" s="657"/>
      <c r="M166" s="657"/>
      <c r="N166" s="657"/>
      <c r="O166" s="652"/>
      <c r="P166" s="652"/>
      <c r="Q166" s="652"/>
      <c r="R166" s="652"/>
      <c r="S166" s="652"/>
      <c r="T166" s="657"/>
      <c r="U166" s="657"/>
      <c r="V166" s="657"/>
      <c r="W166" s="652"/>
      <c r="X166" s="652"/>
      <c r="Y166" s="652"/>
      <c r="Z166" s="652"/>
      <c r="AA166" s="652"/>
      <c r="AB166" s="652"/>
      <c r="AC166" s="652"/>
      <c r="AD166" s="652"/>
      <c r="AE166" s="652"/>
      <c r="AF166" s="652"/>
      <c r="AG166" s="652"/>
      <c r="AH166" s="652"/>
      <c r="AI166" s="652"/>
      <c r="AJ166" s="652"/>
      <c r="AK166" s="652"/>
      <c r="AL166" s="652"/>
      <c r="AM166" s="652"/>
    </row>
    <row r="167" spans="1:39" hidden="1" x14ac:dyDescent="0.2">
      <c r="A167" s="652"/>
      <c r="B167" s="652"/>
      <c r="C167" s="652"/>
      <c r="D167" s="652"/>
      <c r="E167" s="652"/>
      <c r="F167" s="652"/>
      <c r="G167" s="652"/>
      <c r="H167" s="652"/>
      <c r="I167" s="652"/>
      <c r="J167" s="652"/>
      <c r="K167" s="652"/>
      <c r="L167" s="657"/>
      <c r="M167" s="657"/>
      <c r="N167" s="657"/>
      <c r="O167" s="652"/>
      <c r="P167" s="652"/>
      <c r="Q167" s="652"/>
      <c r="R167" s="652"/>
      <c r="S167" s="652"/>
      <c r="T167" s="657"/>
      <c r="U167" s="657"/>
      <c r="V167" s="657"/>
      <c r="W167" s="652"/>
      <c r="X167" s="652"/>
      <c r="Y167" s="652"/>
      <c r="Z167" s="652"/>
      <c r="AA167" s="652"/>
      <c r="AB167" s="652"/>
      <c r="AC167" s="652"/>
      <c r="AD167" s="652"/>
      <c r="AE167" s="652"/>
      <c r="AF167" s="652"/>
      <c r="AG167" s="652"/>
      <c r="AH167" s="652"/>
      <c r="AI167" s="652"/>
      <c r="AJ167" s="652"/>
      <c r="AK167" s="652"/>
      <c r="AL167" s="652"/>
      <c r="AM167" s="652"/>
    </row>
    <row r="168" spans="1:39" hidden="1" x14ac:dyDescent="0.2">
      <c r="A168" s="652"/>
      <c r="B168" s="652"/>
      <c r="C168" s="652"/>
      <c r="D168" s="652"/>
      <c r="E168" s="652"/>
      <c r="F168" s="652"/>
      <c r="G168" s="652"/>
      <c r="H168" s="652"/>
      <c r="I168" s="652"/>
      <c r="J168" s="652"/>
      <c r="K168" s="652"/>
      <c r="L168" s="657"/>
      <c r="M168" s="657"/>
      <c r="N168" s="657"/>
      <c r="O168" s="652"/>
      <c r="P168" s="652"/>
      <c r="Q168" s="652"/>
      <c r="R168" s="652"/>
      <c r="S168" s="652"/>
      <c r="T168" s="657"/>
      <c r="U168" s="657"/>
      <c r="V168" s="657"/>
      <c r="W168" s="652"/>
      <c r="X168" s="652"/>
      <c r="Y168" s="652"/>
      <c r="Z168" s="652"/>
      <c r="AA168" s="652"/>
      <c r="AB168" s="652"/>
      <c r="AC168" s="652"/>
      <c r="AD168" s="652"/>
      <c r="AE168" s="652"/>
      <c r="AF168" s="652"/>
      <c r="AG168" s="652"/>
      <c r="AH168" s="652"/>
      <c r="AI168" s="652"/>
      <c r="AJ168" s="652"/>
      <c r="AK168" s="652"/>
      <c r="AL168" s="652"/>
      <c r="AM168" s="652"/>
    </row>
    <row r="169" spans="1:39" hidden="1" x14ac:dyDescent="0.2">
      <c r="A169" s="652"/>
      <c r="B169" s="652"/>
      <c r="C169" s="652"/>
      <c r="D169" s="652"/>
      <c r="E169" s="652"/>
      <c r="F169" s="652"/>
      <c r="G169" s="652"/>
      <c r="H169" s="652"/>
      <c r="I169" s="652"/>
      <c r="J169" s="652"/>
      <c r="K169" s="652"/>
      <c r="L169" s="657"/>
      <c r="M169" s="657"/>
      <c r="N169" s="657"/>
      <c r="O169" s="652"/>
      <c r="P169" s="652"/>
      <c r="Q169" s="652"/>
      <c r="R169" s="652"/>
      <c r="S169" s="652"/>
      <c r="T169" s="657"/>
      <c r="U169" s="657"/>
      <c r="V169" s="657"/>
      <c r="W169" s="652"/>
      <c r="X169" s="652"/>
      <c r="Y169" s="652"/>
      <c r="Z169" s="652"/>
      <c r="AA169" s="652"/>
      <c r="AB169" s="652"/>
      <c r="AC169" s="652"/>
      <c r="AD169" s="652"/>
      <c r="AE169" s="652"/>
      <c r="AF169" s="652"/>
      <c r="AG169" s="652"/>
      <c r="AH169" s="652"/>
      <c r="AI169" s="652"/>
      <c r="AJ169" s="652"/>
      <c r="AK169" s="652"/>
      <c r="AL169" s="652"/>
      <c r="AM169" s="652"/>
    </row>
    <row r="170" spans="1:39" hidden="1" x14ac:dyDescent="0.2">
      <c r="A170" s="652"/>
      <c r="B170" s="652"/>
      <c r="C170" s="652"/>
      <c r="D170" s="652"/>
      <c r="E170" s="652"/>
      <c r="F170" s="652"/>
      <c r="G170" s="652"/>
      <c r="H170" s="652"/>
      <c r="I170" s="652"/>
      <c r="J170" s="652"/>
      <c r="K170" s="652"/>
      <c r="L170" s="657"/>
      <c r="M170" s="657"/>
      <c r="N170" s="657"/>
      <c r="O170" s="652"/>
      <c r="P170" s="652"/>
      <c r="Q170" s="652"/>
      <c r="R170" s="652"/>
      <c r="S170" s="652"/>
      <c r="T170" s="657"/>
      <c r="U170" s="657"/>
      <c r="V170" s="657"/>
      <c r="W170" s="652"/>
      <c r="X170" s="652"/>
      <c r="Y170" s="652"/>
      <c r="Z170" s="652"/>
      <c r="AA170" s="652"/>
      <c r="AB170" s="652"/>
      <c r="AC170" s="652"/>
      <c r="AD170" s="652"/>
      <c r="AE170" s="652"/>
      <c r="AF170" s="652"/>
      <c r="AG170" s="652"/>
      <c r="AH170" s="652"/>
      <c r="AI170" s="652"/>
      <c r="AJ170" s="652"/>
      <c r="AK170" s="652"/>
      <c r="AL170" s="652"/>
      <c r="AM170" s="652"/>
    </row>
    <row r="171" spans="1:39" hidden="1" x14ac:dyDescent="0.2">
      <c r="A171" s="652"/>
      <c r="B171" s="652"/>
      <c r="C171" s="652"/>
      <c r="D171" s="652"/>
      <c r="E171" s="652"/>
      <c r="F171" s="652"/>
      <c r="G171" s="652"/>
      <c r="H171" s="652"/>
      <c r="I171" s="652"/>
      <c r="J171" s="652"/>
      <c r="K171" s="652"/>
      <c r="L171" s="657"/>
      <c r="M171" s="657"/>
      <c r="N171" s="657"/>
      <c r="O171" s="652"/>
      <c r="P171" s="652"/>
      <c r="Q171" s="652"/>
      <c r="R171" s="652"/>
      <c r="S171" s="652"/>
      <c r="T171" s="657"/>
      <c r="U171" s="657"/>
      <c r="V171" s="657"/>
      <c r="W171" s="652"/>
      <c r="X171" s="652"/>
      <c r="Y171" s="652"/>
      <c r="Z171" s="652"/>
      <c r="AA171" s="652"/>
      <c r="AB171" s="652"/>
      <c r="AC171" s="652"/>
      <c r="AD171" s="652"/>
      <c r="AE171" s="652"/>
      <c r="AF171" s="652"/>
      <c r="AG171" s="652"/>
      <c r="AH171" s="652"/>
      <c r="AI171" s="652"/>
      <c r="AJ171" s="652"/>
      <c r="AK171" s="652"/>
      <c r="AL171" s="652"/>
      <c r="AM171" s="652"/>
    </row>
    <row r="172" spans="1:39" hidden="1" x14ac:dyDescent="0.2">
      <c r="A172" s="652"/>
      <c r="B172" s="652"/>
      <c r="C172" s="652"/>
      <c r="D172" s="652"/>
      <c r="E172" s="652"/>
      <c r="F172" s="652"/>
      <c r="G172" s="652"/>
      <c r="H172" s="652"/>
      <c r="I172" s="652"/>
      <c r="J172" s="652"/>
      <c r="K172" s="652"/>
      <c r="L172" s="657"/>
      <c r="M172" s="657"/>
      <c r="N172" s="657"/>
      <c r="O172" s="652"/>
      <c r="P172" s="652"/>
      <c r="Q172" s="652"/>
      <c r="R172" s="652"/>
      <c r="S172" s="652"/>
      <c r="T172" s="657"/>
      <c r="U172" s="657"/>
      <c r="V172" s="657"/>
      <c r="W172" s="652"/>
      <c r="X172" s="652"/>
      <c r="Y172" s="652"/>
      <c r="Z172" s="652"/>
      <c r="AA172" s="652"/>
      <c r="AB172" s="652"/>
      <c r="AC172" s="652"/>
      <c r="AD172" s="652"/>
      <c r="AE172" s="652"/>
      <c r="AF172" s="652"/>
      <c r="AG172" s="652"/>
      <c r="AH172" s="652"/>
      <c r="AI172" s="652"/>
      <c r="AJ172" s="652"/>
      <c r="AK172" s="652"/>
      <c r="AL172" s="652"/>
      <c r="AM172" s="652"/>
    </row>
    <row r="173" spans="1:39" hidden="1" x14ac:dyDescent="0.2">
      <c r="A173" s="652"/>
      <c r="B173" s="652"/>
      <c r="C173" s="652"/>
      <c r="D173" s="652"/>
      <c r="E173" s="652"/>
      <c r="F173" s="652"/>
      <c r="G173" s="652"/>
      <c r="H173" s="652"/>
      <c r="I173" s="652"/>
      <c r="J173" s="652"/>
      <c r="K173" s="652"/>
      <c r="L173" s="657"/>
      <c r="M173" s="657"/>
      <c r="N173" s="657"/>
      <c r="O173" s="652"/>
      <c r="P173" s="652"/>
      <c r="Q173" s="652"/>
      <c r="R173" s="652"/>
      <c r="S173" s="652"/>
      <c r="T173" s="657"/>
      <c r="U173" s="657"/>
      <c r="V173" s="657"/>
      <c r="W173" s="652"/>
      <c r="X173" s="652"/>
      <c r="Y173" s="652"/>
      <c r="Z173" s="652"/>
      <c r="AA173" s="652"/>
      <c r="AB173" s="652"/>
      <c r="AC173" s="652"/>
      <c r="AD173" s="652"/>
      <c r="AE173" s="652"/>
      <c r="AF173" s="652"/>
      <c r="AG173" s="652"/>
      <c r="AH173" s="652"/>
      <c r="AI173" s="652"/>
      <c r="AJ173" s="652"/>
      <c r="AK173" s="652"/>
      <c r="AL173" s="652"/>
      <c r="AM173" s="652"/>
    </row>
    <row r="174" spans="1:39"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652"/>
      <c r="AF174" s="652"/>
      <c r="AG174" s="652"/>
      <c r="AH174" s="652"/>
      <c r="AI174" s="652"/>
      <c r="AJ174" s="652"/>
      <c r="AK174" s="652"/>
      <c r="AL174" s="652"/>
      <c r="AM174" s="652"/>
    </row>
    <row r="175" spans="1:39"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652"/>
      <c r="AF175" s="652"/>
      <c r="AG175" s="652"/>
      <c r="AH175" s="652"/>
      <c r="AI175" s="652"/>
      <c r="AJ175" s="652"/>
      <c r="AK175" s="652"/>
      <c r="AL175" s="652"/>
      <c r="AM175" s="652"/>
    </row>
    <row r="176" spans="1:39"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c r="AI284" s="652"/>
      <c r="AJ284" s="652"/>
      <c r="AK284" s="652"/>
      <c r="AL284" s="652"/>
      <c r="AM284" s="652"/>
    </row>
    <row r="285" spans="1:39"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c r="AH285" s="652"/>
      <c r="AI285" s="652"/>
      <c r="AJ285" s="652"/>
      <c r="AK285" s="652"/>
      <c r="AL285" s="652"/>
      <c r="AM285" s="652"/>
    </row>
    <row r="286" spans="1:39" hidden="1" x14ac:dyDescent="0.2">
      <c r="D286" s="698"/>
      <c r="E286" s="698"/>
      <c r="F286" s="652"/>
      <c r="G286" s="652"/>
      <c r="H286" s="652"/>
      <c r="I286" s="652"/>
      <c r="J286" s="652"/>
      <c r="K286" s="652"/>
      <c r="L286" s="652"/>
      <c r="M286" s="652"/>
      <c r="N286" s="652"/>
      <c r="O286" s="652"/>
      <c r="P286" s="652"/>
      <c r="Q286" s="652"/>
      <c r="R286" s="652"/>
      <c r="S286" s="652"/>
      <c r="T286" s="652"/>
      <c r="U286" s="652"/>
      <c r="V286" s="652"/>
      <c r="W286" s="652"/>
      <c r="X286" s="652"/>
      <c r="Y286" s="652"/>
      <c r="Z286" s="652"/>
      <c r="AA286" s="652"/>
      <c r="AB286" s="652"/>
      <c r="AC286" s="652"/>
      <c r="AD286" s="652"/>
      <c r="AE286" s="652"/>
      <c r="AF286" s="652"/>
      <c r="AG286" s="652"/>
      <c r="AH286" s="652"/>
      <c r="AI286" s="652"/>
      <c r="AJ286" s="652"/>
      <c r="AK286" s="652"/>
      <c r="AL286" s="652"/>
      <c r="AM286" s="652"/>
    </row>
    <row r="287" spans="1:39" hidden="1" x14ac:dyDescent="0.2">
      <c r="D287" s="702"/>
      <c r="E287" s="702"/>
      <c r="F287" s="652"/>
      <c r="G287" s="652"/>
      <c r="H287" s="652"/>
      <c r="I287" s="652"/>
      <c r="J287" s="652"/>
      <c r="K287" s="652"/>
      <c r="L287" s="652"/>
      <c r="M287" s="652"/>
      <c r="N287" s="652"/>
      <c r="O287" s="652"/>
      <c r="P287" s="652"/>
      <c r="Q287" s="652"/>
      <c r="R287" s="652"/>
      <c r="S287" s="652"/>
      <c r="T287" s="652"/>
      <c r="U287" s="652"/>
      <c r="V287" s="652"/>
      <c r="W287" s="652"/>
      <c r="X287" s="652"/>
      <c r="Y287" s="652"/>
      <c r="Z287" s="652"/>
      <c r="AA287" s="652"/>
      <c r="AB287" s="652"/>
      <c r="AC287" s="652"/>
      <c r="AD287" s="652"/>
      <c r="AE287" s="652"/>
      <c r="AF287" s="652"/>
      <c r="AG287" s="652"/>
      <c r="AH287" s="652"/>
      <c r="AI287" s="652"/>
      <c r="AJ287" s="652"/>
      <c r="AK287" s="652"/>
      <c r="AL287" s="652"/>
      <c r="AM287" s="652"/>
    </row>
    <row r="288" spans="1:39" hidden="1" x14ac:dyDescent="0.2">
      <c r="D288" s="653"/>
      <c r="E288" s="653"/>
      <c r="F288" s="652"/>
      <c r="G288" s="652"/>
      <c r="H288" s="652"/>
      <c r="I288" s="652"/>
      <c r="J288" s="652"/>
      <c r="K288" s="652"/>
      <c r="L288" s="652"/>
      <c r="M288" s="652"/>
      <c r="N288" s="652"/>
      <c r="O288" s="652"/>
      <c r="P288" s="652"/>
      <c r="Q288" s="652"/>
      <c r="R288" s="652"/>
      <c r="S288" s="652"/>
      <c r="T288" s="652"/>
      <c r="U288" s="652"/>
      <c r="V288" s="652"/>
      <c r="W288" s="703"/>
      <c r="X288" s="652"/>
      <c r="Y288" s="652"/>
      <c r="Z288" s="652"/>
      <c r="AA288" s="652"/>
      <c r="AB288" s="652"/>
      <c r="AC288" s="652"/>
      <c r="AD288" s="652"/>
      <c r="AE288" s="652"/>
      <c r="AF288" s="652"/>
      <c r="AG288" s="652"/>
      <c r="AH288" s="652"/>
      <c r="AI288" s="652"/>
      <c r="AJ288" s="652"/>
      <c r="AK288" s="652"/>
      <c r="AL288" s="652"/>
      <c r="AM288" s="652"/>
    </row>
    <row r="289" spans="1:39" hidden="1" x14ac:dyDescent="0.2">
      <c r="D289" s="653"/>
      <c r="E289" s="653"/>
      <c r="F289" s="652"/>
      <c r="G289" s="652"/>
      <c r="H289" s="652"/>
      <c r="I289" s="652"/>
      <c r="J289" s="652"/>
      <c r="K289" s="652"/>
      <c r="L289" s="652"/>
      <c r="M289" s="652"/>
      <c r="N289" s="652"/>
      <c r="O289" s="652"/>
      <c r="P289" s="652"/>
      <c r="Q289" s="652"/>
      <c r="R289" s="652"/>
      <c r="S289" s="652"/>
      <c r="T289" s="652"/>
      <c r="U289" s="652"/>
      <c r="V289" s="652"/>
      <c r="W289" s="652"/>
      <c r="X289" s="652"/>
      <c r="Y289" s="652"/>
      <c r="Z289" s="652"/>
      <c r="AA289" s="652"/>
      <c r="AB289" s="652"/>
      <c r="AC289" s="652"/>
      <c r="AD289" s="652"/>
      <c r="AE289" s="652"/>
      <c r="AF289" s="652"/>
      <c r="AG289" s="652"/>
      <c r="AH289" s="652"/>
      <c r="AI289" s="652"/>
      <c r="AJ289" s="652"/>
      <c r="AK289" s="652"/>
      <c r="AL289" s="652"/>
      <c r="AM289" s="652"/>
    </row>
    <row r="290" spans="1:39" hidden="1" x14ac:dyDescent="0.2">
      <c r="D290" s="653"/>
      <c r="E290" s="653"/>
      <c r="F290" s="65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c r="AI290" s="652"/>
      <c r="AJ290" s="652"/>
      <c r="AK290" s="652"/>
      <c r="AL290" s="652"/>
      <c r="AM290" s="652"/>
    </row>
    <row r="291" spans="1:39" hidden="1" x14ac:dyDescent="0.2">
      <c r="D291" s="653"/>
      <c r="E291" s="653"/>
      <c r="F291" s="652"/>
      <c r="G291" s="652"/>
      <c r="H291" s="652"/>
      <c r="I291" s="652"/>
      <c r="J291" s="652"/>
      <c r="K291" s="652"/>
      <c r="L291" s="652"/>
      <c r="M291" s="652"/>
      <c r="N291" s="652"/>
      <c r="O291" s="652"/>
      <c r="P291" s="652"/>
      <c r="Q291" s="652"/>
      <c r="R291" s="652"/>
      <c r="S291" s="652"/>
      <c r="T291" s="652"/>
      <c r="U291" s="652"/>
      <c r="V291" s="652"/>
      <c r="W291" s="652"/>
      <c r="X291" s="652"/>
      <c r="Y291" s="652"/>
      <c r="Z291" s="652"/>
      <c r="AA291" s="652"/>
      <c r="AB291" s="652"/>
      <c r="AC291" s="652"/>
      <c r="AD291" s="652"/>
      <c r="AE291" s="652"/>
      <c r="AF291" s="652"/>
      <c r="AG291" s="652"/>
      <c r="AH291" s="652"/>
      <c r="AI291" s="652"/>
      <c r="AJ291" s="652"/>
      <c r="AK291" s="652"/>
      <c r="AL291" s="652"/>
      <c r="AM291" s="652"/>
    </row>
    <row r="292" spans="1:39" hidden="1" x14ac:dyDescent="0.2">
      <c r="D292" s="653"/>
      <c r="E292" s="653"/>
      <c r="F292" s="65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652"/>
      <c r="AF292" s="652"/>
      <c r="AG292" s="652"/>
      <c r="AH292" s="652"/>
      <c r="AI292" s="652"/>
      <c r="AJ292" s="652"/>
      <c r="AK292" s="652"/>
      <c r="AL292" s="652"/>
      <c r="AM292" s="652"/>
    </row>
    <row r="293" spans="1:39" hidden="1" x14ac:dyDescent="0.2">
      <c r="D293" s="653"/>
      <c r="E293" s="653"/>
      <c r="F293" s="652"/>
      <c r="G293" s="652"/>
      <c r="H293" s="652"/>
      <c r="I293" s="652"/>
      <c r="J293" s="652"/>
      <c r="K293" s="652"/>
      <c r="L293" s="652"/>
      <c r="M293" s="652"/>
      <c r="N293" s="652"/>
      <c r="O293" s="652"/>
      <c r="P293" s="652"/>
      <c r="Q293" s="652"/>
      <c r="R293" s="652"/>
      <c r="S293" s="652"/>
      <c r="T293" s="652"/>
      <c r="U293" s="652"/>
      <c r="V293" s="652"/>
      <c r="W293" s="703"/>
      <c r="X293" s="652"/>
      <c r="Y293" s="652"/>
      <c r="Z293" s="652"/>
      <c r="AA293" s="652"/>
      <c r="AB293" s="652"/>
      <c r="AC293" s="652"/>
      <c r="AD293" s="652"/>
      <c r="AE293" s="652"/>
      <c r="AF293" s="652"/>
      <c r="AG293" s="652"/>
      <c r="AH293" s="652"/>
      <c r="AI293" s="652"/>
      <c r="AJ293" s="652"/>
      <c r="AK293" s="652"/>
      <c r="AL293" s="652"/>
      <c r="AM293" s="652"/>
    </row>
    <row r="294" spans="1:39" hidden="1" x14ac:dyDescent="0.2">
      <c r="D294" s="653"/>
      <c r="E294" s="653"/>
      <c r="F294" s="652"/>
      <c r="G294" s="652"/>
      <c r="H294" s="652"/>
      <c r="I294" s="652"/>
      <c r="J294" s="652"/>
      <c r="K294" s="652"/>
      <c r="L294" s="652"/>
      <c r="M294" s="652"/>
      <c r="N294" s="652"/>
      <c r="O294" s="652"/>
      <c r="P294" s="652"/>
      <c r="Q294" s="652"/>
      <c r="R294" s="652"/>
      <c r="S294" s="652"/>
      <c r="T294" s="652"/>
      <c r="U294" s="652"/>
      <c r="V294" s="652"/>
      <c r="W294" s="652"/>
      <c r="X294" s="652"/>
      <c r="Y294" s="652"/>
      <c r="Z294" s="652"/>
      <c r="AA294" s="652"/>
      <c r="AB294" s="652"/>
      <c r="AC294" s="652"/>
      <c r="AD294" s="652"/>
      <c r="AE294" s="652"/>
      <c r="AF294" s="652"/>
      <c r="AG294" s="652"/>
      <c r="AH294" s="652"/>
      <c r="AI294" s="652"/>
      <c r="AJ294" s="652"/>
      <c r="AK294" s="652"/>
      <c r="AL294" s="652"/>
      <c r="AM294" s="652"/>
    </row>
    <row r="295" spans="1:39" hidden="1" x14ac:dyDescent="0.2">
      <c r="D295" s="653"/>
      <c r="E295" s="653"/>
      <c r="F295" s="652"/>
      <c r="G295" s="652"/>
      <c r="H295" s="652"/>
      <c r="I295" s="65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652"/>
      <c r="AF295" s="652"/>
      <c r="AG295" s="652"/>
      <c r="AH295" s="652"/>
      <c r="AI295" s="652"/>
      <c r="AJ295" s="652"/>
      <c r="AK295" s="652"/>
      <c r="AL295" s="652"/>
      <c r="AM295" s="652"/>
    </row>
    <row r="296" spans="1:39" hidden="1" x14ac:dyDescent="0.2">
      <c r="D296" s="653"/>
      <c r="E296" s="653"/>
      <c r="F296" s="652"/>
      <c r="G296" s="652"/>
      <c r="H296" s="652"/>
      <c r="I296" s="652"/>
      <c r="J296" s="652"/>
      <c r="K296" s="652"/>
      <c r="L296" s="652"/>
      <c r="M296" s="652"/>
      <c r="N296" s="652"/>
      <c r="O296" s="652"/>
      <c r="P296" s="652"/>
      <c r="Q296" s="652"/>
      <c r="R296" s="652"/>
      <c r="S296" s="652"/>
      <c r="T296" s="652"/>
      <c r="U296" s="652"/>
      <c r="V296" s="652"/>
      <c r="W296" s="652"/>
      <c r="X296" s="652"/>
      <c r="Y296" s="652"/>
      <c r="Z296" s="652"/>
      <c r="AA296" s="652"/>
      <c r="AB296" s="652"/>
      <c r="AC296" s="652"/>
      <c r="AD296" s="652"/>
      <c r="AE296" s="652"/>
      <c r="AF296" s="652"/>
      <c r="AG296" s="652"/>
      <c r="AH296" s="652"/>
      <c r="AI296" s="652"/>
      <c r="AJ296" s="652"/>
      <c r="AK296" s="652"/>
      <c r="AL296" s="652"/>
      <c r="AM296" s="652"/>
    </row>
    <row r="297" spans="1:39" hidden="1" x14ac:dyDescent="0.2">
      <c r="D297" s="652"/>
      <c r="E297" s="652"/>
      <c r="F297" s="65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652"/>
      <c r="AF297" s="652"/>
      <c r="AG297" s="652"/>
      <c r="AH297" s="652"/>
      <c r="AI297" s="652"/>
      <c r="AJ297" s="652"/>
      <c r="AK297" s="652"/>
      <c r="AL297" s="652"/>
      <c r="AM297" s="652"/>
    </row>
    <row r="299" spans="1:39" x14ac:dyDescent="0.2">
      <c r="A299" s="652"/>
      <c r="B299" s="652"/>
      <c r="C299" s="697" t="s">
        <v>182</v>
      </c>
    </row>
    <row r="300" spans="1:39" x14ac:dyDescent="0.2">
      <c r="A300" s="699">
        <v>1</v>
      </c>
      <c r="B300" s="700" t="str">
        <f t="shared" ref="B300:B310" si="10">IFERROR(INDEX(B$1:B$87,MATCH(A300,A$1:A$87,0)),"")</f>
        <v>Oksana Rõndenkova, Oleg Rõndenkov</v>
      </c>
      <c r="C300" s="701">
        <f t="shared" ref="C300:C309" si="11">IF(21-A300&gt;0,IF(OR(A300=A301,A299=A300),21-A300-0.5,21-A300),1)</f>
        <v>20</v>
      </c>
    </row>
    <row r="301" spans="1:39" x14ac:dyDescent="0.2">
      <c r="A301" s="699">
        <v>2</v>
      </c>
      <c r="B301" s="700" t="str">
        <f t="shared" si="10"/>
        <v>Johannes Neiland, Tõnis Neiland</v>
      </c>
      <c r="C301" s="701">
        <f t="shared" si="11"/>
        <v>19</v>
      </c>
    </row>
    <row r="302" spans="1:39" x14ac:dyDescent="0.2">
      <c r="A302" s="699">
        <v>3</v>
      </c>
      <c r="B302" s="700" t="str">
        <f t="shared" si="10"/>
        <v>Henri Mitt, Urmas Randlaine</v>
      </c>
      <c r="C302" s="701">
        <f t="shared" si="11"/>
        <v>18</v>
      </c>
    </row>
    <row r="303" spans="1:39" x14ac:dyDescent="0.2">
      <c r="A303" s="699">
        <v>4</v>
      </c>
      <c r="B303" s="700" t="str">
        <f t="shared" si="10"/>
        <v>Mait Metsla, Matti Vinni</v>
      </c>
      <c r="C303" s="701">
        <f t="shared" si="11"/>
        <v>17</v>
      </c>
    </row>
    <row r="304" spans="1:39" x14ac:dyDescent="0.2">
      <c r="A304" s="699">
        <v>5</v>
      </c>
      <c r="B304" s="700" t="str">
        <f t="shared" si="10"/>
        <v>Karla Purgats, Lemmit Toomra</v>
      </c>
      <c r="C304" s="701">
        <f t="shared" si="11"/>
        <v>16</v>
      </c>
    </row>
    <row r="305" spans="1:3" x14ac:dyDescent="0.2">
      <c r="A305" s="699">
        <v>6</v>
      </c>
      <c r="B305" s="700" t="str">
        <f t="shared" si="10"/>
        <v>Ivar Viljaste, Tõnu Kapper</v>
      </c>
      <c r="C305" s="701">
        <f t="shared" si="11"/>
        <v>15</v>
      </c>
    </row>
    <row r="306" spans="1:3" x14ac:dyDescent="0.2">
      <c r="A306" s="699">
        <v>7</v>
      </c>
      <c r="B306" s="700" t="str">
        <f t="shared" si="10"/>
        <v>Kaspar Mänd, Peep Peenema</v>
      </c>
      <c r="C306" s="701">
        <f t="shared" si="11"/>
        <v>14</v>
      </c>
    </row>
    <row r="307" spans="1:3" x14ac:dyDescent="0.2">
      <c r="A307" s="699">
        <v>8</v>
      </c>
      <c r="B307" s="700" t="str">
        <f t="shared" si="10"/>
        <v>Illar Tõnurist, Jaan Saar, Kenneth Muusikus</v>
      </c>
      <c r="C307" s="701">
        <f t="shared" si="11"/>
        <v>13</v>
      </c>
    </row>
    <row r="308" spans="1:3" x14ac:dyDescent="0.2">
      <c r="A308" s="699">
        <v>9</v>
      </c>
      <c r="B308" s="700" t="str">
        <f t="shared" si="10"/>
        <v>Enn Tokman, Tarmo Bombe</v>
      </c>
      <c r="C308" s="701">
        <f t="shared" si="11"/>
        <v>12</v>
      </c>
    </row>
    <row r="309" spans="1:3" x14ac:dyDescent="0.2">
      <c r="A309" s="699">
        <v>10</v>
      </c>
      <c r="B309" s="700" t="str">
        <f t="shared" si="10"/>
        <v>Andrei Grintšak, Boriss Klubov</v>
      </c>
      <c r="C309" s="701">
        <f t="shared" si="11"/>
        <v>11</v>
      </c>
    </row>
    <row r="310" spans="1:3" x14ac:dyDescent="0.2">
      <c r="A310" s="699">
        <v>11</v>
      </c>
      <c r="B310" s="700" t="str">
        <f t="shared" si="10"/>
        <v>Elmo Lageda, Tõnu Piik</v>
      </c>
      <c r="C310" s="701">
        <f>IF(21-A310&gt;0,IF(OR(A310=A298,A309=A310),21-A310-0.5,21-A310),1)</f>
        <v>10</v>
      </c>
    </row>
  </sheetData>
  <conditionalFormatting sqref="C8:C18">
    <cfRule type="expression" dxfId="481" priority="18">
      <formula>IF($C8&gt;$E8,TRUE)</formula>
    </cfRule>
  </conditionalFormatting>
  <conditionalFormatting sqref="E8:E18">
    <cfRule type="expression" dxfId="480" priority="19">
      <formula>IF($C8&lt;$E8,TRUE)</formula>
    </cfRule>
  </conditionalFormatting>
  <conditionalFormatting sqref="K8:K18">
    <cfRule type="expression" dxfId="479" priority="26">
      <formula>IF($K8&gt;$M8,TRUE)</formula>
    </cfRule>
  </conditionalFormatting>
  <conditionalFormatting sqref="M8:M18">
    <cfRule type="expression" dxfId="478" priority="27">
      <formula>IF($K8&lt;$M8,TRUE)</formula>
    </cfRule>
  </conditionalFormatting>
  <conditionalFormatting sqref="O8:O18">
    <cfRule type="expression" dxfId="477" priority="30">
      <formula>IF($O8&gt;$Q8,TRUE)</formula>
    </cfRule>
  </conditionalFormatting>
  <conditionalFormatting sqref="Q8:Q18">
    <cfRule type="expression" dxfId="476" priority="31">
      <formula>IF($O8&lt;$Q8,TRUE)</formula>
    </cfRule>
  </conditionalFormatting>
  <conditionalFormatting sqref="S8:S18">
    <cfRule type="expression" dxfId="475" priority="34">
      <formula>IF($S8&gt;$U8,TRUE)</formula>
    </cfRule>
  </conditionalFormatting>
  <conditionalFormatting sqref="U8:U18">
    <cfRule type="expression" dxfId="474" priority="35">
      <formula>IF($S8&lt;$U8,TRUE)</formula>
    </cfRule>
  </conditionalFormatting>
  <conditionalFormatting sqref="G8:G18">
    <cfRule type="expression" dxfId="473" priority="22">
      <formula>IF($G8&gt;$I8,TRUE)</formula>
    </cfRule>
  </conditionalFormatting>
  <conditionalFormatting sqref="I8:I18">
    <cfRule type="expression" dxfId="472" priority="23">
      <formula>IF($G8&lt;$I8,TRUE)</formula>
    </cfRule>
  </conditionalFormatting>
  <conditionalFormatting sqref="F8:F18">
    <cfRule type="containsText" dxfId="471" priority="9" operator="containsText" text="vaba voor">
      <formula>NOT(ISERROR(SEARCH("vaba voor",F8)))</formula>
    </cfRule>
  </conditionalFormatting>
  <conditionalFormatting sqref="N8:N18">
    <cfRule type="containsText" dxfId="470" priority="7" operator="containsText" text="vaba voor">
      <formula>NOT(ISERROR(SEARCH("vaba voor",N8)))</formula>
    </cfRule>
  </conditionalFormatting>
  <conditionalFormatting sqref="R8:R18">
    <cfRule type="containsText" dxfId="469" priority="10" operator="containsText" text="vaba voor">
      <formula>NOT(ISERROR(SEARCH("vaba voor",R8)))</formula>
    </cfRule>
  </conditionalFormatting>
  <conditionalFormatting sqref="V8:V18">
    <cfRule type="containsText" dxfId="468" priority="6" operator="containsText" text="vaba voor">
      <formula>NOT(ISERROR(SEARCH("vaba voor",V8)))</formula>
    </cfRule>
  </conditionalFormatting>
  <conditionalFormatting sqref="J8:J18">
    <cfRule type="containsText" dxfId="467" priority="8" operator="containsText" text="vaba voor">
      <formula>NOT(ISERROR(SEARCH("vaba voor",J8)))</formula>
    </cfRule>
  </conditionalFormatting>
  <conditionalFormatting sqref="C8:F18">
    <cfRule type="expression" dxfId="466" priority="14">
      <formula>IF(AND(ISNUMBER($C8),$C8=$E8),TRUE)</formula>
    </cfRule>
    <cfRule type="expression" dxfId="465" priority="16">
      <formula>IF($C8&gt;$E8,TRUE)</formula>
    </cfRule>
    <cfRule type="expression" dxfId="464" priority="17">
      <formula>IF($C8&lt;$E8,TRUE)</formula>
    </cfRule>
  </conditionalFormatting>
  <conditionalFormatting sqref="G8:J18">
    <cfRule type="expression" dxfId="463" priority="15">
      <formula>IF(AND(ISNUMBER($G8),$G8=$I8),TRUE)</formula>
    </cfRule>
    <cfRule type="expression" dxfId="462" priority="20">
      <formula>IF($G8&gt;$I8,TRUE)</formula>
    </cfRule>
    <cfRule type="expression" dxfId="461" priority="21">
      <formula>IF($G8&lt;$I8,TRUE)</formula>
    </cfRule>
  </conditionalFormatting>
  <conditionalFormatting sqref="K8:N18">
    <cfRule type="expression" dxfId="460" priority="13">
      <formula>IF(AND(ISNUMBER($K8),$K8=$M8),TRUE)</formula>
    </cfRule>
    <cfRule type="expression" dxfId="459" priority="24">
      <formula>IF($K8&gt;$M8,TRUE)</formula>
    </cfRule>
    <cfRule type="expression" dxfId="458" priority="25">
      <formula>IF($K8&lt;$M8,TRUE)</formula>
    </cfRule>
  </conditionalFormatting>
  <conditionalFormatting sqref="O8:R18">
    <cfRule type="expression" dxfId="457" priority="12">
      <formula>IF(AND(ISNUMBER($O8),$O8=$Q8),TRUE)</formula>
    </cfRule>
    <cfRule type="expression" dxfId="456" priority="28">
      <formula>IF($O8&gt;$Q8,TRUE)</formula>
    </cfRule>
    <cfRule type="expression" dxfId="455" priority="29">
      <formula>IF($O8&lt;$Q8,TRUE)</formula>
    </cfRule>
  </conditionalFormatting>
  <conditionalFormatting sqref="S8:V18">
    <cfRule type="expression" dxfId="454" priority="11">
      <formula>IF(AND(ISNUMBER($S8),$S8=$U8),TRUE)</formula>
    </cfRule>
    <cfRule type="expression" dxfId="453" priority="32">
      <formula>IF($S8&gt;$U8,TRUE)</formula>
    </cfRule>
    <cfRule type="expression" dxfId="452" priority="33">
      <formula>IF($S8&lt;$U8,TRUE)</formula>
    </cfRule>
  </conditionalFormatting>
  <conditionalFormatting sqref="C8:C18 G8:G18 K8:K18 O8:O18 S8:S18">
    <cfRule type="expression" dxfId="451" priority="4">
      <formula>AND(C8=0,E8=13)</formula>
    </cfRule>
  </conditionalFormatting>
  <conditionalFormatting sqref="E8:E18 I8:I18 M8:M18 Q8:Q18 U8:U18">
    <cfRule type="expression" dxfId="450" priority="5">
      <formula>AND(E8=0,C8=13)</formula>
    </cfRule>
  </conditionalFormatting>
  <conditionalFormatting sqref="AF8:AF18 AJ8:AJ18 AL8:AL18">
    <cfRule type="expression" dxfId="449" priority="1">
      <formula>AND(AE8="",COUNTIF(AF8,"*,*")=0)</formula>
    </cfRule>
  </conditionalFormatting>
  <conditionalFormatting sqref="AH8:AH18">
    <cfRule type="expression" dxfId="448" priority="2">
      <formula>AND(AG8="",FIND(",",AH8))</formula>
    </cfRule>
    <cfRule type="expression" dxfId="447" priority="3">
      <formula>AND(AG8="",COUNTIF(AH8,"*,*")=0)</formula>
    </cfRule>
  </conditionalFormatting>
  <conditionalFormatting sqref="A300:A310">
    <cfRule type="duplicateValues" dxfId="446" priority="76"/>
  </conditionalFormatting>
  <conditionalFormatting sqref="A8:A18">
    <cfRule type="duplicateValues" dxfId="445" priority="131"/>
  </conditionalFormatting>
  <conditionalFormatting sqref="B300:B310">
    <cfRule type="expression" dxfId="444" priority="169">
      <formula>A300=3</formula>
    </cfRule>
    <cfRule type="expression" dxfId="443" priority="170">
      <formula>A300=2</formula>
    </cfRule>
    <cfRule type="expression" dxfId="442" priority="171">
      <formula>A300=1</formula>
    </cfRule>
    <cfRule type="containsBlanks" dxfId="441" priority="172">
      <formula>LEN(TRIM(B300))=0</formula>
    </cfRule>
    <cfRule type="duplicateValues" dxfId="440" priority="173"/>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M311"/>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36.570312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8.28515625" hidden="1" customWidth="1"/>
    <col min="33" max="33" width="9.140625" hidden="1" customWidth="1"/>
    <col min="34" max="34" width="25" hidden="1" customWidth="1"/>
    <col min="35" max="35" width="9.140625" hidden="1" customWidth="1"/>
    <col min="36" max="36" width="17.28515625" hidden="1" customWidth="1"/>
    <col min="37" max="37" width="9.140625" hidden="1" customWidth="1"/>
    <col min="38" max="38" width="13.85546875" hidden="1" customWidth="1"/>
  </cols>
  <sheetData>
    <row r="1" spans="1:39" x14ac:dyDescent="0.2">
      <c r="A1" s="742" t="str">
        <f>UPPER((Kalend!E22)&amp;" - "&amp;(Kalend!C22)&amp;" - "&amp;(Kalend!D22))</f>
        <v>V4 - VOKA 6. KV 4. ETAPP - DUO</v>
      </c>
      <c r="B1" s="652"/>
      <c r="C1" s="653"/>
      <c r="D1" s="652"/>
      <c r="E1" s="652"/>
      <c r="F1" s="410" t="str">
        <f>HYPERLINK("#Kalend!I1","Kalender")</f>
        <v>Kalender</v>
      </c>
      <c r="G1" s="410"/>
      <c r="H1" s="410"/>
      <c r="I1" s="410"/>
      <c r="J1" s="654" t="str">
        <f>HYPERLINK("#V!AB1","Reiting")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tr">
        <f>"Toimumisaeg: "&amp;(Kalend!A22)&amp;" kell "&amp;(Kalend!B22)</f>
        <v>Toimumisaeg: K, 19.06.2019 kell 18:00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2"/>
      <c r="AE2" s="652"/>
      <c r="AF2" s="652"/>
      <c r="AG2" s="652"/>
      <c r="AH2" s="652"/>
      <c r="AI2" s="652"/>
      <c r="AJ2" s="652"/>
      <c r="AK2" s="652"/>
      <c r="AL2" s="652"/>
      <c r="AM2" s="652"/>
    </row>
    <row r="3" spans="1:39" x14ac:dyDescent="0.2">
      <c r="A3" s="659" t="str">
        <f>"Toimumiskoht: "&amp;(Kalend!F22)</f>
        <v>Toimumiskoht: Voka staadion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tr">
        <f>"Korraldaja: "&amp;(Kalend!G22)</f>
        <v>Korraldaja: Johannes Neiland</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x14ac:dyDescent="0.2">
      <c r="A8" s="685">
        <v>1</v>
      </c>
      <c r="B8" s="686" t="s">
        <v>405</v>
      </c>
      <c r="C8" s="687">
        <v>13</v>
      </c>
      <c r="D8" s="688" t="s">
        <v>377</v>
      </c>
      <c r="E8" s="689">
        <v>9</v>
      </c>
      <c r="F8" s="690" t="s">
        <v>385</v>
      </c>
      <c r="G8" s="687">
        <v>13</v>
      </c>
      <c r="H8" s="688" t="s">
        <v>377</v>
      </c>
      <c r="I8" s="689">
        <v>5</v>
      </c>
      <c r="J8" s="690" t="s">
        <v>406</v>
      </c>
      <c r="K8" s="687">
        <v>13</v>
      </c>
      <c r="L8" s="688" t="s">
        <v>377</v>
      </c>
      <c r="M8" s="689">
        <v>12</v>
      </c>
      <c r="N8" s="690" t="s">
        <v>391</v>
      </c>
      <c r="O8" s="687">
        <v>13</v>
      </c>
      <c r="P8" s="688" t="s">
        <v>377</v>
      </c>
      <c r="Q8" s="689">
        <v>5</v>
      </c>
      <c r="R8" s="690" t="s">
        <v>383</v>
      </c>
      <c r="S8" s="687">
        <v>8</v>
      </c>
      <c r="T8" s="688" t="s">
        <v>377</v>
      </c>
      <c r="U8" s="689">
        <v>13</v>
      </c>
      <c r="V8" s="690" t="s">
        <v>404</v>
      </c>
      <c r="W8" s="691">
        <f>IF(C8&gt;E8,J$3,IF(C8&lt;E8,J$5,IF(ISNUMBER(C8),J$4,0)))+IF(G8&gt;I8,J$3,IF(G8&lt;I8,J$5,IF(ISNUMBER(G8),J$4,0)))+IF(K8&gt;M8,J$3,IF(K8&lt;M8,J$5,IF(ISNUMBER(K8),J$4,0)))+IF(O8&gt;Q8,J$3,IF(O8&lt;Q8,J$5,IF(ISNUMBER(O8),J$4,0)))+IF(S8&gt;U8,J$3,IF(S8&lt;U8,J$5,IF(ISNUMBER(S8),J$4,0)))</f>
        <v>4</v>
      </c>
      <c r="X8" s="692"/>
      <c r="Y8" s="687">
        <f>C8+G8+K8+O8+S8</f>
        <v>60</v>
      </c>
      <c r="Z8" s="688" t="s">
        <v>377</v>
      </c>
      <c r="AA8" s="693">
        <f>E8+I8+M8+Q8+U8</f>
        <v>44</v>
      </c>
      <c r="AB8" s="694">
        <f>Y8-AA8</f>
        <v>16</v>
      </c>
      <c r="AC8" s="695"/>
      <c r="AD8" s="708">
        <f t="shared" ref="AD8" si="0">SUM(AE8:AL8)</f>
        <v>225</v>
      </c>
      <c r="AE8" s="709">
        <f>IFERROR(INDEX(V!R$7:R$62,MATCH(AF8,V!L$7:L$62,0)),"")</f>
        <v>148</v>
      </c>
      <c r="AF8" s="710" t="str">
        <f t="shared" ref="AF8:AF19" si="1">IFERROR(LEFT(B8,(FIND(",",B8,1)-1)),"")</f>
        <v>Matti Vinni</v>
      </c>
      <c r="AG8" s="709">
        <f>IFERROR(INDEX(V!R$7:R$62,MATCH(AH8,V!L$7:L$62,0)),"")</f>
        <v>77</v>
      </c>
      <c r="AH8" s="710" t="str">
        <f t="shared" ref="AH8:AH19" si="2">IFERROR(MID(B8,FIND(", ",B8)+2,256),"")</f>
        <v>Vello Vasser</v>
      </c>
      <c r="AI8" s="709" t="str">
        <f>IFERROR(INDEX(V!R$7:R$62,MATCH(AJ8,V!L$7:L$62,0)),"")</f>
        <v/>
      </c>
      <c r="AJ8" s="710" t="str">
        <f t="shared" ref="AJ8:AJ19" si="3">IFERROR(MID(B8,FIND("^",SUBSTITUTE(B8,", ","^",1))+2,FIND("^",SUBSTITUTE(B8,", ","^",2))-FIND("^",SUBSTITUTE(B8,", ","^",1))-2),"")</f>
        <v/>
      </c>
      <c r="AK8" s="709" t="str">
        <f>IFERROR(INDEX(V!R$7:R$62,MATCH(AL8,V!L$7:L$62,0)),"")</f>
        <v/>
      </c>
      <c r="AL8" s="710" t="str">
        <f t="shared" ref="AL8:AL19" si="4">IFERROR(MID(B8,FIND(", ",B8,FIND(", ",B8,FIND(", ",B8))+1)+2,700),"")</f>
        <v/>
      </c>
      <c r="AM8" s="652"/>
    </row>
    <row r="9" spans="1:39" x14ac:dyDescent="0.2">
      <c r="A9" s="685">
        <v>2</v>
      </c>
      <c r="B9" s="686" t="s">
        <v>406</v>
      </c>
      <c r="C9" s="687">
        <v>13</v>
      </c>
      <c r="D9" s="688" t="s">
        <v>377</v>
      </c>
      <c r="E9" s="689">
        <v>10</v>
      </c>
      <c r="F9" s="690" t="s">
        <v>383</v>
      </c>
      <c r="G9" s="687">
        <v>5</v>
      </c>
      <c r="H9" s="688" t="s">
        <v>377</v>
      </c>
      <c r="I9" s="689">
        <v>13</v>
      </c>
      <c r="J9" s="690" t="s">
        <v>405</v>
      </c>
      <c r="K9" s="687">
        <v>13</v>
      </c>
      <c r="L9" s="688" t="s">
        <v>377</v>
      </c>
      <c r="M9" s="689">
        <v>4</v>
      </c>
      <c r="N9" s="690" t="s">
        <v>407</v>
      </c>
      <c r="O9" s="687">
        <v>13</v>
      </c>
      <c r="P9" s="688" t="s">
        <v>377</v>
      </c>
      <c r="Q9" s="689">
        <v>7</v>
      </c>
      <c r="R9" s="690" t="s">
        <v>399</v>
      </c>
      <c r="S9" s="687">
        <v>13</v>
      </c>
      <c r="T9" s="688" t="s">
        <v>377</v>
      </c>
      <c r="U9" s="689">
        <v>5</v>
      </c>
      <c r="V9" s="690" t="s">
        <v>391</v>
      </c>
      <c r="W9" s="691">
        <f t="shared" ref="W9:W19" si="5">IF(C9&gt;E9,J$3,IF(C9&lt;E9,J$5,IF(ISNUMBER(C9),J$4,0)))+IF(G9&gt;I9,J$3,IF(G9&lt;I9,J$5,IF(ISNUMBER(G9),J$4,0)))+IF(K9&gt;M9,J$3,IF(K9&lt;M9,J$5,IF(ISNUMBER(K9),J$4,0)))+IF(O9&gt;Q9,J$3,IF(O9&lt;Q9,J$5,IF(ISNUMBER(O9),J$4,0)))+IF(S9&gt;U9,J$3,IF(S9&lt;U9,J$5,IF(ISNUMBER(S9),J$4,0)))</f>
        <v>4</v>
      </c>
      <c r="X9" s="692"/>
      <c r="Y9" s="687">
        <f t="shared" ref="Y9:Y19" si="6">C9+G9+K9+O9+S9</f>
        <v>57</v>
      </c>
      <c r="Z9" s="688" t="s">
        <v>377</v>
      </c>
      <c r="AA9" s="693">
        <f t="shared" ref="AA9:AA19" si="7">E9+I9+M9+Q9+U9</f>
        <v>39</v>
      </c>
      <c r="AB9" s="694">
        <f t="shared" ref="AB9:AB19" si="8">Y9-AA9</f>
        <v>18</v>
      </c>
      <c r="AC9" s="695"/>
      <c r="AD9" s="708">
        <f t="shared" ref="AD9:AD19" si="9">SUM(AE9:AL9)</f>
        <v>168</v>
      </c>
      <c r="AE9" s="709">
        <f>IFERROR(INDEX(V!R$7:R$62,MATCH(AF9,V!L$7:L$62,0)),"")</f>
        <v>33</v>
      </c>
      <c r="AF9" s="710" t="str">
        <f t="shared" si="1"/>
        <v>Fredi Müür</v>
      </c>
      <c r="AG9" s="709">
        <f>IFERROR(INDEX(V!R$7:R$62,MATCH(AH9,V!L$7:L$62,0)),"")</f>
        <v>135</v>
      </c>
      <c r="AH9" s="710" t="str">
        <f t="shared" si="2"/>
        <v>Kenneth Muusikus</v>
      </c>
      <c r="AI9" s="709" t="str">
        <f>IFERROR(INDEX(V!R$7:R$62,MATCH(AJ9,V!L$7:L$62,0)),"")</f>
        <v/>
      </c>
      <c r="AJ9" s="710" t="str">
        <f t="shared" si="3"/>
        <v/>
      </c>
      <c r="AK9" s="709" t="str">
        <f>IFERROR(INDEX(V!R$7:R$62,MATCH(AL9,V!L$7:L$62,0)),"")</f>
        <v/>
      </c>
      <c r="AL9" s="710" t="str">
        <f t="shared" si="4"/>
        <v/>
      </c>
      <c r="AM9" s="652"/>
    </row>
    <row r="10" spans="1:39" x14ac:dyDescent="0.2">
      <c r="A10" s="685">
        <v>3</v>
      </c>
      <c r="B10" s="686" t="s">
        <v>404</v>
      </c>
      <c r="C10" s="687">
        <v>10</v>
      </c>
      <c r="D10" s="688" t="s">
        <v>377</v>
      </c>
      <c r="E10" s="689">
        <v>10</v>
      </c>
      <c r="F10" s="690" t="s">
        <v>399</v>
      </c>
      <c r="G10" s="687">
        <v>1</v>
      </c>
      <c r="H10" s="688" t="s">
        <v>377</v>
      </c>
      <c r="I10" s="689">
        <v>13</v>
      </c>
      <c r="J10" s="690" t="s">
        <v>383</v>
      </c>
      <c r="K10" s="687">
        <v>13</v>
      </c>
      <c r="L10" s="688" t="s">
        <v>377</v>
      </c>
      <c r="M10" s="689">
        <v>10</v>
      </c>
      <c r="N10" s="690" t="s">
        <v>387</v>
      </c>
      <c r="O10" s="687">
        <v>13</v>
      </c>
      <c r="P10" s="688" t="s">
        <v>377</v>
      </c>
      <c r="Q10" s="689">
        <v>2</v>
      </c>
      <c r="R10" s="690" t="s">
        <v>385</v>
      </c>
      <c r="S10" s="687">
        <v>13</v>
      </c>
      <c r="T10" s="688" t="s">
        <v>377</v>
      </c>
      <c r="U10" s="689">
        <v>8</v>
      </c>
      <c r="V10" s="690" t="s">
        <v>405</v>
      </c>
      <c r="W10" s="691">
        <f t="shared" si="5"/>
        <v>3.5</v>
      </c>
      <c r="X10" s="692"/>
      <c r="Y10" s="687">
        <f t="shared" si="6"/>
        <v>50</v>
      </c>
      <c r="Z10" s="688" t="s">
        <v>377</v>
      </c>
      <c r="AA10" s="693">
        <f t="shared" si="7"/>
        <v>43</v>
      </c>
      <c r="AB10" s="694">
        <f t="shared" si="8"/>
        <v>7</v>
      </c>
      <c r="AC10" s="695"/>
      <c r="AD10" s="708">
        <f t="shared" si="9"/>
        <v>235</v>
      </c>
      <c r="AE10" s="709">
        <f>IFERROR(INDEX(V!R$7:R$62,MATCH(AF10,V!L$7:L$62,0)),"")</f>
        <v>125</v>
      </c>
      <c r="AF10" s="710" t="str">
        <f t="shared" si="1"/>
        <v>Karla Purgats</v>
      </c>
      <c r="AG10" s="709">
        <f>IFERROR(INDEX(V!R$7:R$62,MATCH(AH10,V!L$7:L$62,0)),"")</f>
        <v>110</v>
      </c>
      <c r="AH10" s="710" t="str">
        <f t="shared" si="2"/>
        <v>Lemmit Toomra</v>
      </c>
      <c r="AI10" s="709" t="str">
        <f>IFERROR(INDEX(V!R$7:R$62,MATCH(AJ10,V!L$7:L$62,0)),"")</f>
        <v/>
      </c>
      <c r="AJ10" s="710" t="str">
        <f t="shared" si="3"/>
        <v/>
      </c>
      <c r="AK10" s="709" t="str">
        <f>IFERROR(INDEX(V!R$7:R$62,MATCH(AL10,V!L$7:L$62,0)),"")</f>
        <v/>
      </c>
      <c r="AL10" s="710" t="str">
        <f t="shared" si="4"/>
        <v/>
      </c>
      <c r="AM10" s="652"/>
    </row>
    <row r="11" spans="1:39" x14ac:dyDescent="0.2">
      <c r="A11" s="685">
        <v>4</v>
      </c>
      <c r="B11" s="686" t="s">
        <v>391</v>
      </c>
      <c r="C11" s="687">
        <v>13</v>
      </c>
      <c r="D11" s="688" t="s">
        <v>377</v>
      </c>
      <c r="E11" s="689">
        <v>2</v>
      </c>
      <c r="F11" s="690" t="s">
        <v>408</v>
      </c>
      <c r="G11" s="687">
        <v>13</v>
      </c>
      <c r="H11" s="688" t="s">
        <v>377</v>
      </c>
      <c r="I11" s="689">
        <v>3</v>
      </c>
      <c r="J11" s="690" t="s">
        <v>407</v>
      </c>
      <c r="K11" s="687">
        <v>12</v>
      </c>
      <c r="L11" s="688" t="s">
        <v>377</v>
      </c>
      <c r="M11" s="689">
        <v>13</v>
      </c>
      <c r="N11" s="690" t="s">
        <v>405</v>
      </c>
      <c r="O11" s="687">
        <v>13</v>
      </c>
      <c r="P11" s="688" t="s">
        <v>377</v>
      </c>
      <c r="Q11" s="689">
        <v>8</v>
      </c>
      <c r="R11" s="690" t="s">
        <v>409</v>
      </c>
      <c r="S11" s="687">
        <v>5</v>
      </c>
      <c r="T11" s="688" t="s">
        <v>377</v>
      </c>
      <c r="U11" s="689">
        <v>13</v>
      </c>
      <c r="V11" s="690" t="s">
        <v>406</v>
      </c>
      <c r="W11" s="691">
        <f t="shared" si="5"/>
        <v>3</v>
      </c>
      <c r="X11" s="692"/>
      <c r="Y11" s="687">
        <f t="shared" si="6"/>
        <v>56</v>
      </c>
      <c r="Z11" s="688" t="s">
        <v>377</v>
      </c>
      <c r="AA11" s="693">
        <f t="shared" si="7"/>
        <v>39</v>
      </c>
      <c r="AB11" s="694">
        <f t="shared" si="8"/>
        <v>17</v>
      </c>
      <c r="AC11" s="695"/>
      <c r="AD11" s="708">
        <f t="shared" si="9"/>
        <v>334</v>
      </c>
      <c r="AE11" s="709">
        <f>IFERROR(INDEX(V!R$7:R$62,MATCH(AF11,V!L$7:L$62,0)),"")</f>
        <v>165</v>
      </c>
      <c r="AF11" s="710" t="str">
        <f t="shared" si="1"/>
        <v>Oksana Rõndenkova</v>
      </c>
      <c r="AG11" s="709">
        <f>IFERROR(INDEX(V!R$7:R$62,MATCH(AH11,V!L$7:L$62,0)),"")</f>
        <v>169</v>
      </c>
      <c r="AH11" s="710" t="str">
        <f t="shared" si="2"/>
        <v>Oleg Rõndenkov</v>
      </c>
      <c r="AI11" s="709" t="str">
        <f>IFERROR(INDEX(V!R$7:R$62,MATCH(AJ11,V!L$7:L$62,0)),"")</f>
        <v/>
      </c>
      <c r="AJ11" s="710" t="str">
        <f t="shared" si="3"/>
        <v/>
      </c>
      <c r="AK11" s="709" t="str">
        <f>IFERROR(INDEX(V!R$7:R$62,MATCH(AL11,V!L$7:L$62,0)),"")</f>
        <v/>
      </c>
      <c r="AL11" s="710" t="str">
        <f t="shared" si="4"/>
        <v/>
      </c>
      <c r="AM11" s="652"/>
    </row>
    <row r="12" spans="1:39" x14ac:dyDescent="0.2">
      <c r="A12" s="685">
        <v>5</v>
      </c>
      <c r="B12" s="686" t="s">
        <v>383</v>
      </c>
      <c r="C12" s="687">
        <v>10</v>
      </c>
      <c r="D12" s="688" t="s">
        <v>377</v>
      </c>
      <c r="E12" s="689">
        <v>13</v>
      </c>
      <c r="F12" s="690" t="s">
        <v>406</v>
      </c>
      <c r="G12" s="687">
        <v>13</v>
      </c>
      <c r="H12" s="688" t="s">
        <v>377</v>
      </c>
      <c r="I12" s="689">
        <v>1</v>
      </c>
      <c r="J12" s="690" t="s">
        <v>404</v>
      </c>
      <c r="K12" s="687">
        <v>13</v>
      </c>
      <c r="L12" s="688" t="s">
        <v>377</v>
      </c>
      <c r="M12" s="689">
        <v>10</v>
      </c>
      <c r="N12" s="690" t="s">
        <v>399</v>
      </c>
      <c r="O12" s="687">
        <v>5</v>
      </c>
      <c r="P12" s="688" t="s">
        <v>377</v>
      </c>
      <c r="Q12" s="689">
        <v>13</v>
      </c>
      <c r="R12" s="690" t="s">
        <v>405</v>
      </c>
      <c r="S12" s="687">
        <v>13</v>
      </c>
      <c r="T12" s="688" t="s">
        <v>377</v>
      </c>
      <c r="U12" s="689">
        <v>10</v>
      </c>
      <c r="V12" s="690" t="s">
        <v>395</v>
      </c>
      <c r="W12" s="691">
        <f t="shared" si="5"/>
        <v>3</v>
      </c>
      <c r="X12" s="692"/>
      <c r="Y12" s="687">
        <f t="shared" si="6"/>
        <v>54</v>
      </c>
      <c r="Z12" s="688" t="s">
        <v>377</v>
      </c>
      <c r="AA12" s="693">
        <f t="shared" si="7"/>
        <v>47</v>
      </c>
      <c r="AB12" s="694">
        <f t="shared" si="8"/>
        <v>7</v>
      </c>
      <c r="AC12" s="695"/>
      <c r="AD12" s="708">
        <f t="shared" si="9"/>
        <v>284</v>
      </c>
      <c r="AE12" s="709">
        <f>IFERROR(INDEX(V!R$7:R$62,MATCH(AF12,V!L$7:L$62,0)),"")</f>
        <v>142</v>
      </c>
      <c r="AF12" s="710" t="str">
        <f t="shared" si="1"/>
        <v>Elmo Lageda</v>
      </c>
      <c r="AG12" s="709">
        <f>IFERROR(INDEX(V!R$7:R$62,MATCH(AH12,V!L$7:L$62,0)),"")</f>
        <v>142</v>
      </c>
      <c r="AH12" s="710" t="str">
        <f t="shared" si="2"/>
        <v>Tõnu Piik</v>
      </c>
      <c r="AI12" s="709" t="str">
        <f>IFERROR(INDEX(V!R$7:R$62,MATCH(AJ12,V!L$7:L$62,0)),"")</f>
        <v/>
      </c>
      <c r="AJ12" s="710" t="str">
        <f t="shared" si="3"/>
        <v/>
      </c>
      <c r="AK12" s="709" t="str">
        <f>IFERROR(INDEX(V!R$7:R$62,MATCH(AL12,V!L$7:L$62,0)),"")</f>
        <v/>
      </c>
      <c r="AL12" s="710" t="str">
        <f t="shared" si="4"/>
        <v/>
      </c>
      <c r="AM12" s="652"/>
    </row>
    <row r="13" spans="1:39" x14ac:dyDescent="0.2">
      <c r="A13" s="685">
        <v>6</v>
      </c>
      <c r="B13" s="686" t="s">
        <v>409</v>
      </c>
      <c r="C13" s="687">
        <v>10</v>
      </c>
      <c r="D13" s="688" t="s">
        <v>377</v>
      </c>
      <c r="E13" s="689">
        <v>13</v>
      </c>
      <c r="F13" s="690" t="s">
        <v>387</v>
      </c>
      <c r="G13" s="687">
        <v>13</v>
      </c>
      <c r="H13" s="688" t="s">
        <v>377</v>
      </c>
      <c r="I13" s="689">
        <v>12</v>
      </c>
      <c r="J13" s="690" t="s">
        <v>385</v>
      </c>
      <c r="K13" s="687">
        <v>13</v>
      </c>
      <c r="L13" s="688" t="s">
        <v>377</v>
      </c>
      <c r="M13" s="689">
        <v>7</v>
      </c>
      <c r="N13" s="690" t="s">
        <v>395</v>
      </c>
      <c r="O13" s="687">
        <v>8</v>
      </c>
      <c r="P13" s="688" t="s">
        <v>377</v>
      </c>
      <c r="Q13" s="689">
        <v>13</v>
      </c>
      <c r="R13" s="690" t="s">
        <v>391</v>
      </c>
      <c r="S13" s="687">
        <v>13</v>
      </c>
      <c r="T13" s="688" t="s">
        <v>377</v>
      </c>
      <c r="U13" s="689">
        <v>4</v>
      </c>
      <c r="V13" s="690" t="s">
        <v>399</v>
      </c>
      <c r="W13" s="691">
        <f t="shared" si="5"/>
        <v>3</v>
      </c>
      <c r="X13" s="692"/>
      <c r="Y13" s="687">
        <f t="shared" si="6"/>
        <v>57</v>
      </c>
      <c r="Z13" s="688" t="s">
        <v>377</v>
      </c>
      <c r="AA13" s="693">
        <f t="shared" si="7"/>
        <v>49</v>
      </c>
      <c r="AB13" s="694">
        <f t="shared" si="8"/>
        <v>8</v>
      </c>
      <c r="AC13" s="695"/>
      <c r="AD13" s="708">
        <f t="shared" si="9"/>
        <v>248</v>
      </c>
      <c r="AE13" s="709">
        <f>IFERROR(INDEX(V!R$7:R$62,MATCH(AF13,V!L$7:L$62,0)),"")</f>
        <v>81</v>
      </c>
      <c r="AF13" s="710" t="str">
        <f t="shared" si="1"/>
        <v>Illar Tõnurist</v>
      </c>
      <c r="AG13" s="709" t="str">
        <f>IFERROR(INDEX(V!R$7:R$62,MATCH(AH13,V!L$7:L$62,0)),"")</f>
        <v/>
      </c>
      <c r="AH13" s="710" t="str">
        <f t="shared" si="2"/>
        <v>Kaspar Mänd, Urmas Jõeäär</v>
      </c>
      <c r="AI13" s="709">
        <f>IFERROR(INDEX(V!R$7:R$62,MATCH(AJ13,V!L$7:L$62,0)),"")</f>
        <v>113</v>
      </c>
      <c r="AJ13" s="710" t="str">
        <f t="shared" si="3"/>
        <v>Kaspar Mänd</v>
      </c>
      <c r="AK13" s="709">
        <f>IFERROR(INDEX(V!R$7:R$62,MATCH(AL13,V!L$7:L$62,0)),"")</f>
        <v>54</v>
      </c>
      <c r="AL13" s="710" t="str">
        <f t="shared" si="4"/>
        <v>Urmas Jõeäär</v>
      </c>
      <c r="AM13" s="652"/>
    </row>
    <row r="14" spans="1:39" x14ac:dyDescent="0.2">
      <c r="A14" s="685">
        <v>7</v>
      </c>
      <c r="B14" s="696" t="s">
        <v>395</v>
      </c>
      <c r="C14" s="687">
        <v>7</v>
      </c>
      <c r="D14" s="688" t="s">
        <v>377</v>
      </c>
      <c r="E14" s="689">
        <v>13</v>
      </c>
      <c r="F14" s="690" t="s">
        <v>407</v>
      </c>
      <c r="G14" s="687">
        <v>13</v>
      </c>
      <c r="H14" s="688" t="s">
        <v>377</v>
      </c>
      <c r="I14" s="689">
        <v>8</v>
      </c>
      <c r="J14" s="690" t="s">
        <v>408</v>
      </c>
      <c r="K14" s="687">
        <v>7</v>
      </c>
      <c r="L14" s="688" t="s">
        <v>377</v>
      </c>
      <c r="M14" s="689">
        <v>13</v>
      </c>
      <c r="N14" s="690" t="s">
        <v>409</v>
      </c>
      <c r="O14" s="687">
        <v>13</v>
      </c>
      <c r="P14" s="688" t="s">
        <v>377</v>
      </c>
      <c r="Q14" s="689">
        <v>2</v>
      </c>
      <c r="R14" s="690" t="s">
        <v>387</v>
      </c>
      <c r="S14" s="687">
        <v>10</v>
      </c>
      <c r="T14" s="688" t="s">
        <v>377</v>
      </c>
      <c r="U14" s="689">
        <v>13</v>
      </c>
      <c r="V14" s="690" t="s">
        <v>383</v>
      </c>
      <c r="W14" s="691">
        <f t="shared" si="5"/>
        <v>2</v>
      </c>
      <c r="X14" s="692"/>
      <c r="Y14" s="687">
        <f t="shared" si="6"/>
        <v>50</v>
      </c>
      <c r="Z14" s="688" t="s">
        <v>377</v>
      </c>
      <c r="AA14" s="693">
        <f t="shared" si="7"/>
        <v>49</v>
      </c>
      <c r="AB14" s="694">
        <f t="shared" si="8"/>
        <v>1</v>
      </c>
      <c r="AC14" s="695"/>
      <c r="AD14" s="708">
        <f t="shared" si="9"/>
        <v>137</v>
      </c>
      <c r="AE14" s="709">
        <f>IFERROR(INDEX(V!R$7:R$62,MATCH(AF14,V!L$7:L$62,0)),"")</f>
        <v>82</v>
      </c>
      <c r="AF14" s="710" t="str">
        <f t="shared" si="1"/>
        <v>Andres Veski</v>
      </c>
      <c r="AG14" s="709">
        <f>IFERROR(INDEX(V!R$7:R$62,MATCH(AH14,V!L$7:L$62,0)),"")</f>
        <v>55</v>
      </c>
      <c r="AH14" s="710" t="str">
        <f t="shared" si="2"/>
        <v>Svetlana Veski</v>
      </c>
      <c r="AI14" s="709" t="str">
        <f>IFERROR(INDEX(V!R$7:R$62,MATCH(AJ14,V!L$7:L$62,0)),"")</f>
        <v/>
      </c>
      <c r="AJ14" s="710" t="str">
        <f t="shared" si="3"/>
        <v/>
      </c>
      <c r="AK14" s="709" t="str">
        <f>IFERROR(INDEX(V!R$7:R$62,MATCH(AL14,V!L$7:L$62,0)),"")</f>
        <v/>
      </c>
      <c r="AL14" s="710" t="str">
        <f t="shared" si="4"/>
        <v/>
      </c>
      <c r="AM14" s="652"/>
    </row>
    <row r="15" spans="1:39" x14ac:dyDescent="0.2">
      <c r="A15" s="685">
        <v>8</v>
      </c>
      <c r="B15" s="696" t="s">
        <v>385</v>
      </c>
      <c r="C15" s="687">
        <v>9</v>
      </c>
      <c r="D15" s="688" t="s">
        <v>377</v>
      </c>
      <c r="E15" s="689">
        <v>13</v>
      </c>
      <c r="F15" s="690" t="s">
        <v>405</v>
      </c>
      <c r="G15" s="687">
        <v>12</v>
      </c>
      <c r="H15" s="688" t="s">
        <v>377</v>
      </c>
      <c r="I15" s="689">
        <v>13</v>
      </c>
      <c r="J15" s="690" t="s">
        <v>409</v>
      </c>
      <c r="K15" s="687">
        <v>13</v>
      </c>
      <c r="L15" s="688" t="s">
        <v>377</v>
      </c>
      <c r="M15" s="689">
        <v>2</v>
      </c>
      <c r="N15" s="690" t="s">
        <v>408</v>
      </c>
      <c r="O15" s="687">
        <v>2</v>
      </c>
      <c r="P15" s="688" t="s">
        <v>377</v>
      </c>
      <c r="Q15" s="689">
        <v>13</v>
      </c>
      <c r="R15" s="690" t="s">
        <v>404</v>
      </c>
      <c r="S15" s="687">
        <v>13</v>
      </c>
      <c r="T15" s="688" t="s">
        <v>377</v>
      </c>
      <c r="U15" s="689">
        <v>11</v>
      </c>
      <c r="V15" s="690" t="s">
        <v>407</v>
      </c>
      <c r="W15" s="691">
        <f t="shared" si="5"/>
        <v>2</v>
      </c>
      <c r="X15" s="692"/>
      <c r="Y15" s="687">
        <f t="shared" si="6"/>
        <v>49</v>
      </c>
      <c r="Z15" s="688" t="s">
        <v>377</v>
      </c>
      <c r="AA15" s="693">
        <f t="shared" si="7"/>
        <v>52</v>
      </c>
      <c r="AB15" s="694">
        <f t="shared" si="8"/>
        <v>-3</v>
      </c>
      <c r="AC15" s="695"/>
      <c r="AD15" s="708">
        <f t="shared" si="9"/>
        <v>108</v>
      </c>
      <c r="AE15" s="709">
        <f>IFERROR(INDEX(V!R$7:R$62,MATCH(AF15,V!L$7:L$62,0)),"")</f>
        <v>54</v>
      </c>
      <c r="AF15" s="710" t="str">
        <f t="shared" si="1"/>
        <v>Meelis Luud</v>
      </c>
      <c r="AG15" s="709">
        <f>IFERROR(INDEX(V!R$7:R$62,MATCH(AH15,V!L$7:L$62,0)),"")</f>
        <v>54</v>
      </c>
      <c r="AH15" s="710" t="str">
        <f t="shared" si="2"/>
        <v>Sander Rose</v>
      </c>
      <c r="AI15" s="709" t="str">
        <f>IFERROR(INDEX(V!R$7:R$62,MATCH(AJ15,V!L$7:L$62,0)),"")</f>
        <v/>
      </c>
      <c r="AJ15" s="710" t="str">
        <f t="shared" si="3"/>
        <v/>
      </c>
      <c r="AK15" s="709" t="str">
        <f>IFERROR(INDEX(V!R$7:R$62,MATCH(AL15,V!L$7:L$62,0)),"")</f>
        <v/>
      </c>
      <c r="AL15" s="710" t="str">
        <f t="shared" si="4"/>
        <v/>
      </c>
      <c r="AM15" s="652"/>
    </row>
    <row r="16" spans="1:39" x14ac:dyDescent="0.2">
      <c r="A16" s="685">
        <v>9</v>
      </c>
      <c r="B16" s="686" t="s">
        <v>408</v>
      </c>
      <c r="C16" s="687">
        <v>2</v>
      </c>
      <c r="D16" s="688" t="s">
        <v>377</v>
      </c>
      <c r="E16" s="689">
        <v>13</v>
      </c>
      <c r="F16" s="690" t="s">
        <v>391</v>
      </c>
      <c r="G16" s="687">
        <v>8</v>
      </c>
      <c r="H16" s="688" t="s">
        <v>377</v>
      </c>
      <c r="I16" s="689">
        <v>13</v>
      </c>
      <c r="J16" s="690" t="s">
        <v>395</v>
      </c>
      <c r="K16" s="687">
        <v>2</v>
      </c>
      <c r="L16" s="688" t="s">
        <v>377</v>
      </c>
      <c r="M16" s="689">
        <v>13</v>
      </c>
      <c r="N16" s="690" t="s">
        <v>385</v>
      </c>
      <c r="O16" s="687">
        <v>12</v>
      </c>
      <c r="P16" s="688" t="s">
        <v>377</v>
      </c>
      <c r="Q16" s="689">
        <v>10</v>
      </c>
      <c r="R16" s="690" t="s">
        <v>407</v>
      </c>
      <c r="S16" s="687">
        <v>13</v>
      </c>
      <c r="T16" s="688" t="s">
        <v>377</v>
      </c>
      <c r="U16" s="689">
        <v>9</v>
      </c>
      <c r="V16" s="690" t="s">
        <v>387</v>
      </c>
      <c r="W16" s="691">
        <f t="shared" si="5"/>
        <v>2</v>
      </c>
      <c r="X16" s="692"/>
      <c r="Y16" s="687">
        <f t="shared" si="6"/>
        <v>37</v>
      </c>
      <c r="Z16" s="688" t="s">
        <v>377</v>
      </c>
      <c r="AA16" s="693">
        <f t="shared" si="7"/>
        <v>58</v>
      </c>
      <c r="AB16" s="694">
        <f t="shared" si="8"/>
        <v>-21</v>
      </c>
      <c r="AC16" s="695"/>
      <c r="AD16" s="708">
        <f t="shared" si="9"/>
        <v>167</v>
      </c>
      <c r="AE16" s="709">
        <f>IFERROR(INDEX(V!R$7:R$62,MATCH(AF16,V!L$7:L$62,0)),"")</f>
        <v>90</v>
      </c>
      <c r="AF16" s="710" t="str">
        <f t="shared" si="1"/>
        <v>Johannes Neiland</v>
      </c>
      <c r="AG16" s="709">
        <f>IFERROR(INDEX(V!R$7:R$62,MATCH(AH16,V!L$7:L$62,0)),"")</f>
        <v>77</v>
      </c>
      <c r="AH16" s="710" t="str">
        <f t="shared" si="2"/>
        <v>Liidia Põllu</v>
      </c>
      <c r="AI16" s="709" t="str">
        <f>IFERROR(INDEX(V!R$7:R$62,MATCH(AJ16,V!L$7:L$62,0)),"")</f>
        <v/>
      </c>
      <c r="AJ16" s="710" t="str">
        <f t="shared" si="3"/>
        <v/>
      </c>
      <c r="AK16" s="709" t="str">
        <f>IFERROR(INDEX(V!R$7:R$62,MATCH(AL16,V!L$7:L$62,0)),"")</f>
        <v/>
      </c>
      <c r="AL16" s="710" t="str">
        <f t="shared" si="4"/>
        <v/>
      </c>
      <c r="AM16" s="652"/>
    </row>
    <row r="17" spans="1:39" x14ac:dyDescent="0.2">
      <c r="A17" s="685">
        <v>10</v>
      </c>
      <c r="B17" s="686" t="s">
        <v>399</v>
      </c>
      <c r="C17" s="687">
        <v>10</v>
      </c>
      <c r="D17" s="688" t="s">
        <v>377</v>
      </c>
      <c r="E17" s="689">
        <v>10</v>
      </c>
      <c r="F17" s="690" t="s">
        <v>404</v>
      </c>
      <c r="G17" s="687">
        <v>13</v>
      </c>
      <c r="H17" s="688" t="s">
        <v>377</v>
      </c>
      <c r="I17" s="689">
        <v>3</v>
      </c>
      <c r="J17" s="690" t="s">
        <v>387</v>
      </c>
      <c r="K17" s="687">
        <v>10</v>
      </c>
      <c r="L17" s="688" t="s">
        <v>377</v>
      </c>
      <c r="M17" s="689">
        <v>13</v>
      </c>
      <c r="N17" s="690" t="s">
        <v>383</v>
      </c>
      <c r="O17" s="687">
        <v>7</v>
      </c>
      <c r="P17" s="688" t="s">
        <v>377</v>
      </c>
      <c r="Q17" s="689">
        <v>13</v>
      </c>
      <c r="R17" s="690" t="s">
        <v>406</v>
      </c>
      <c r="S17" s="687">
        <v>4</v>
      </c>
      <c r="T17" s="688" t="s">
        <v>377</v>
      </c>
      <c r="U17" s="689">
        <v>13</v>
      </c>
      <c r="V17" s="690" t="s">
        <v>409</v>
      </c>
      <c r="W17" s="691">
        <f t="shared" si="5"/>
        <v>1.5</v>
      </c>
      <c r="X17" s="692"/>
      <c r="Y17" s="687">
        <f t="shared" si="6"/>
        <v>44</v>
      </c>
      <c r="Z17" s="688" t="s">
        <v>377</v>
      </c>
      <c r="AA17" s="693">
        <f t="shared" si="7"/>
        <v>52</v>
      </c>
      <c r="AB17" s="694">
        <f t="shared" si="8"/>
        <v>-8</v>
      </c>
      <c r="AC17" s="695"/>
      <c r="AD17" s="708">
        <f t="shared" si="9"/>
        <v>181</v>
      </c>
      <c r="AE17" s="709">
        <f>IFERROR(INDEX(V!R$7:R$62,MATCH(AF17,V!L$7:L$62,0)),"")</f>
        <v>106</v>
      </c>
      <c r="AF17" s="710" t="str">
        <f t="shared" si="1"/>
        <v>Henri Mitt</v>
      </c>
      <c r="AG17" s="709">
        <f>IFERROR(INDEX(V!R$7:R$62,MATCH(AH17,V!L$7:L$62,0)),"")</f>
        <v>75</v>
      </c>
      <c r="AH17" s="710" t="str">
        <f t="shared" si="2"/>
        <v>Urmas Randlaine</v>
      </c>
      <c r="AI17" s="709" t="str">
        <f>IFERROR(INDEX(V!R$7:R$62,MATCH(AJ17,V!L$7:L$62,0)),"")</f>
        <v/>
      </c>
      <c r="AJ17" s="710" t="str">
        <f t="shared" si="3"/>
        <v/>
      </c>
      <c r="AK17" s="709" t="str">
        <f>IFERROR(INDEX(V!R$7:R$62,MATCH(AL17,V!L$7:L$62,0)),"")</f>
        <v/>
      </c>
      <c r="AL17" s="710" t="str">
        <f t="shared" si="4"/>
        <v/>
      </c>
      <c r="AM17" s="652"/>
    </row>
    <row r="18" spans="1:39" x14ac:dyDescent="0.2">
      <c r="A18" s="685">
        <v>11</v>
      </c>
      <c r="B18" s="696" t="s">
        <v>407</v>
      </c>
      <c r="C18" s="687">
        <v>13</v>
      </c>
      <c r="D18" s="688" t="s">
        <v>377</v>
      </c>
      <c r="E18" s="689">
        <v>7</v>
      </c>
      <c r="F18" s="690" t="s">
        <v>395</v>
      </c>
      <c r="G18" s="687">
        <v>3</v>
      </c>
      <c r="H18" s="688" t="s">
        <v>377</v>
      </c>
      <c r="I18" s="689">
        <v>13</v>
      </c>
      <c r="J18" s="690" t="s">
        <v>391</v>
      </c>
      <c r="K18" s="687">
        <v>4</v>
      </c>
      <c r="L18" s="688" t="s">
        <v>377</v>
      </c>
      <c r="M18" s="689">
        <v>13</v>
      </c>
      <c r="N18" s="690" t="s">
        <v>406</v>
      </c>
      <c r="O18" s="687">
        <v>10</v>
      </c>
      <c r="P18" s="688" t="s">
        <v>377</v>
      </c>
      <c r="Q18" s="689">
        <v>12</v>
      </c>
      <c r="R18" s="690" t="s">
        <v>408</v>
      </c>
      <c r="S18" s="687">
        <v>11</v>
      </c>
      <c r="T18" s="688" t="s">
        <v>377</v>
      </c>
      <c r="U18" s="689">
        <v>13</v>
      </c>
      <c r="V18" s="690" t="s">
        <v>385</v>
      </c>
      <c r="W18" s="691">
        <f t="shared" si="5"/>
        <v>1</v>
      </c>
      <c r="X18" s="692"/>
      <c r="Y18" s="687">
        <f t="shared" si="6"/>
        <v>41</v>
      </c>
      <c r="Z18" s="688" t="s">
        <v>377</v>
      </c>
      <c r="AA18" s="693">
        <f t="shared" si="7"/>
        <v>58</v>
      </c>
      <c r="AB18" s="694">
        <f t="shared" si="8"/>
        <v>-17</v>
      </c>
      <c r="AC18" s="695"/>
      <c r="AD18" s="708">
        <f t="shared" si="9"/>
        <v>178</v>
      </c>
      <c r="AE18" s="709">
        <f>IFERROR(INDEX(V!R$7:R$62,MATCH(AF18,V!L$7:L$62,0)),"")</f>
        <v>103</v>
      </c>
      <c r="AF18" s="710" t="str">
        <f t="shared" si="1"/>
        <v>Boriss Klubov</v>
      </c>
      <c r="AG18" s="709">
        <f>IFERROR(INDEX(V!R$7:R$62,MATCH(AH18,V!L$7:L$62,0)),"")</f>
        <v>75</v>
      </c>
      <c r="AH18" s="710" t="str">
        <f t="shared" si="2"/>
        <v>Tõnu Kapper</v>
      </c>
      <c r="AI18" s="709" t="str">
        <f>IFERROR(INDEX(V!R$7:R$62,MATCH(AJ18,V!L$7:L$62,0)),"")</f>
        <v/>
      </c>
      <c r="AJ18" s="710" t="str">
        <f t="shared" si="3"/>
        <v/>
      </c>
      <c r="AK18" s="709" t="str">
        <f>IFERROR(INDEX(V!R$7:R$62,MATCH(AL18,V!L$7:L$62,0)),"")</f>
        <v/>
      </c>
      <c r="AL18" s="710" t="str">
        <f t="shared" si="4"/>
        <v/>
      </c>
      <c r="AM18" s="652"/>
    </row>
    <row r="19" spans="1:39" x14ac:dyDescent="0.2">
      <c r="A19" s="685">
        <v>12</v>
      </c>
      <c r="B19" s="696" t="s">
        <v>387</v>
      </c>
      <c r="C19" s="687">
        <v>13</v>
      </c>
      <c r="D19" s="688" t="s">
        <v>377</v>
      </c>
      <c r="E19" s="689">
        <v>10</v>
      </c>
      <c r="F19" s="690" t="s">
        <v>409</v>
      </c>
      <c r="G19" s="687">
        <v>3</v>
      </c>
      <c r="H19" s="688" t="s">
        <v>377</v>
      </c>
      <c r="I19" s="689">
        <v>13</v>
      </c>
      <c r="J19" s="690" t="s">
        <v>399</v>
      </c>
      <c r="K19" s="687">
        <v>10</v>
      </c>
      <c r="L19" s="688" t="s">
        <v>377</v>
      </c>
      <c r="M19" s="689">
        <v>13</v>
      </c>
      <c r="N19" s="690" t="s">
        <v>404</v>
      </c>
      <c r="O19" s="687">
        <v>2</v>
      </c>
      <c r="P19" s="688" t="s">
        <v>377</v>
      </c>
      <c r="Q19" s="689">
        <v>13</v>
      </c>
      <c r="R19" s="690" t="s">
        <v>395</v>
      </c>
      <c r="S19" s="687">
        <v>9</v>
      </c>
      <c r="T19" s="688" t="s">
        <v>377</v>
      </c>
      <c r="U19" s="689">
        <v>13</v>
      </c>
      <c r="V19" s="690" t="s">
        <v>408</v>
      </c>
      <c r="W19" s="691">
        <f t="shared" si="5"/>
        <v>1</v>
      </c>
      <c r="X19" s="692"/>
      <c r="Y19" s="687">
        <f t="shared" si="6"/>
        <v>37</v>
      </c>
      <c r="Z19" s="688" t="s">
        <v>377</v>
      </c>
      <c r="AA19" s="693">
        <f t="shared" si="7"/>
        <v>62</v>
      </c>
      <c r="AB19" s="694">
        <f t="shared" si="8"/>
        <v>-25</v>
      </c>
      <c r="AC19" s="695"/>
      <c r="AD19" s="708">
        <f t="shared" si="9"/>
        <v>220</v>
      </c>
      <c r="AE19" s="709">
        <f>IFERROR(INDEX(V!R$7:R$62,MATCH(AF19,V!L$7:L$62,0)),"")</f>
        <v>102</v>
      </c>
      <c r="AF19" s="710" t="str">
        <f t="shared" si="1"/>
        <v>Enn Tokman</v>
      </c>
      <c r="AG19" s="709">
        <f>IFERROR(INDEX(V!R$7:R$62,MATCH(AH19,V!L$7:L$62,0)),"")</f>
        <v>118</v>
      </c>
      <c r="AH19" s="710" t="str">
        <f t="shared" si="2"/>
        <v>Tarmo Bombe</v>
      </c>
      <c r="AI19" s="709" t="str">
        <f>IFERROR(INDEX(V!R$7:R$62,MATCH(AJ19,V!L$7:L$62,0)),"")</f>
        <v/>
      </c>
      <c r="AJ19" s="710" t="str">
        <f t="shared" si="3"/>
        <v/>
      </c>
      <c r="AK19" s="709" t="str">
        <f>IFERROR(INDEX(V!R$7:R$62,MATCH(AL19,V!L$7:L$62,0)),"")</f>
        <v/>
      </c>
      <c r="AL19" s="710" t="str">
        <f t="shared" si="4"/>
        <v/>
      </c>
      <c r="AM19" s="652"/>
    </row>
    <row r="20" spans="1:39" hidden="1" x14ac:dyDescent="0.2">
      <c r="A20" s="652"/>
      <c r="B20" s="652"/>
      <c r="C20" s="652"/>
      <c r="D20" s="652"/>
      <c r="E20" s="652"/>
      <c r="F20" s="652"/>
      <c r="G20" s="652"/>
      <c r="H20" s="652"/>
      <c r="I20" s="652"/>
      <c r="J20" s="652"/>
      <c r="K20" s="652"/>
      <c r="L20" s="652"/>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row>
    <row r="21" spans="1:39" hidden="1" x14ac:dyDescent="0.2">
      <c r="A21" s="652"/>
      <c r="B21" s="652"/>
      <c r="C21" s="652"/>
      <c r="D21" s="652"/>
      <c r="E21" s="652"/>
      <c r="F21" s="652"/>
      <c r="G21" s="652"/>
      <c r="H21" s="652"/>
      <c r="I21" s="652"/>
      <c r="J21" s="652"/>
      <c r="K21" s="652"/>
      <c r="L21" s="652"/>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row>
    <row r="22" spans="1:39" hidden="1" x14ac:dyDescent="0.2">
      <c r="A22" s="652"/>
      <c r="B22" s="652"/>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row>
    <row r="23" spans="1:39" hidden="1" x14ac:dyDescent="0.2">
      <c r="A23" s="652"/>
      <c r="B23" s="652"/>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row>
    <row r="24" spans="1:39" hidden="1" x14ac:dyDescent="0.2">
      <c r="A24" s="652"/>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row>
    <row r="25" spans="1:39" hidden="1" x14ac:dyDescent="0.2">
      <c r="A25" s="652"/>
      <c r="B25" s="652"/>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row>
    <row r="26" spans="1:39" hidden="1" x14ac:dyDescent="0.2">
      <c r="A26" s="652"/>
      <c r="B26" s="652"/>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row>
    <row r="27" spans="1:39" hidden="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row>
    <row r="28" spans="1:39" hidden="1" x14ac:dyDescent="0.2">
      <c r="A28" s="652"/>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row>
    <row r="29" spans="1:39" hidden="1" x14ac:dyDescent="0.2">
      <c r="A29" s="652"/>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row>
    <row r="30" spans="1:39"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row>
    <row r="31" spans="1:39"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row>
    <row r="32" spans="1:39"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row>
    <row r="33" spans="1:39"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row>
    <row r="34" spans="1:39"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row>
    <row r="35" spans="1:39"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row>
    <row r="36" spans="1:39"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2"/>
    </row>
    <row r="133" spans="1:39"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c r="AH133" s="652"/>
      <c r="AI133" s="652"/>
      <c r="AJ133" s="652"/>
      <c r="AK133" s="652"/>
      <c r="AL133" s="652"/>
      <c r="AM133" s="652"/>
    </row>
    <row r="134" spans="1:39" hidden="1" x14ac:dyDescent="0.2">
      <c r="A134" s="652"/>
      <c r="B134" s="652"/>
      <c r="C134" s="652"/>
      <c r="D134" s="652"/>
      <c r="E134" s="652"/>
      <c r="F134" s="652"/>
      <c r="G134" s="652"/>
      <c r="H134" s="652"/>
      <c r="I134" s="652"/>
      <c r="J134" s="652"/>
      <c r="K134" s="652"/>
      <c r="L134" s="652"/>
      <c r="M134" s="652"/>
      <c r="N134" s="652"/>
      <c r="O134" s="652"/>
      <c r="P134" s="652"/>
      <c r="Q134" s="652"/>
      <c r="R134" s="652"/>
      <c r="S134" s="652"/>
      <c r="T134" s="652"/>
      <c r="U134" s="652"/>
      <c r="V134" s="652"/>
      <c r="W134" s="652"/>
      <c r="X134" s="652"/>
      <c r="Y134" s="652"/>
      <c r="Z134" s="652"/>
      <c r="AA134" s="652"/>
      <c r="AB134" s="652"/>
      <c r="AC134" s="652"/>
      <c r="AD134" s="652"/>
      <c r="AE134" s="652"/>
      <c r="AF134" s="652"/>
      <c r="AG134" s="652"/>
      <c r="AH134" s="652"/>
      <c r="AI134" s="652"/>
      <c r="AJ134" s="652"/>
      <c r="AK134" s="652"/>
      <c r="AL134" s="652"/>
      <c r="AM134" s="652"/>
    </row>
    <row r="135" spans="1:39" hidden="1" x14ac:dyDescent="0.2">
      <c r="A135" s="652"/>
      <c r="B135" s="652"/>
      <c r="C135" s="652"/>
      <c r="D135" s="652"/>
      <c r="E135" s="652"/>
      <c r="F135" s="652"/>
      <c r="G135" s="652"/>
      <c r="H135" s="652"/>
      <c r="I135" s="652"/>
      <c r="J135" s="652"/>
      <c r="K135" s="652"/>
      <c r="L135" s="657"/>
      <c r="M135" s="657"/>
      <c r="N135" s="657"/>
      <c r="O135" s="652"/>
      <c r="P135" s="652"/>
      <c r="Q135" s="652"/>
      <c r="R135" s="652"/>
      <c r="S135" s="652"/>
      <c r="T135" s="657"/>
      <c r="U135" s="657"/>
      <c r="V135" s="657"/>
      <c r="W135" s="652"/>
      <c r="X135" s="652"/>
      <c r="Y135" s="652"/>
      <c r="Z135" s="652"/>
      <c r="AA135" s="652"/>
      <c r="AB135" s="652"/>
      <c r="AC135" s="652"/>
      <c r="AD135" s="652"/>
      <c r="AE135" s="652"/>
      <c r="AF135" s="652"/>
      <c r="AG135" s="652"/>
      <c r="AH135" s="652"/>
      <c r="AI135" s="652"/>
      <c r="AJ135" s="652"/>
      <c r="AK135" s="652"/>
      <c r="AL135" s="652"/>
      <c r="AM135" s="652"/>
    </row>
    <row r="136" spans="1:39" hidden="1" x14ac:dyDescent="0.2">
      <c r="A136" s="652"/>
      <c r="B136" s="652"/>
      <c r="C136" s="652"/>
      <c r="D136" s="652"/>
      <c r="E136" s="652"/>
      <c r="F136" s="652"/>
      <c r="G136" s="652"/>
      <c r="H136" s="652"/>
      <c r="I136" s="652"/>
      <c r="J136" s="652"/>
      <c r="K136" s="652"/>
      <c r="L136" s="657"/>
      <c r="M136" s="657"/>
      <c r="N136" s="657"/>
      <c r="O136" s="652"/>
      <c r="P136" s="652"/>
      <c r="Q136" s="652"/>
      <c r="R136" s="652"/>
      <c r="S136" s="652"/>
      <c r="T136" s="657"/>
      <c r="U136" s="657"/>
      <c r="V136" s="657"/>
      <c r="W136" s="652"/>
      <c r="X136" s="652"/>
      <c r="Y136" s="652"/>
      <c r="Z136" s="652"/>
      <c r="AA136" s="652"/>
      <c r="AB136" s="652"/>
      <c r="AC136" s="652"/>
      <c r="AD136" s="652"/>
      <c r="AE136" s="652"/>
      <c r="AF136" s="652"/>
      <c r="AG136" s="652"/>
      <c r="AH136" s="652"/>
      <c r="AI136" s="652"/>
      <c r="AJ136" s="652"/>
      <c r="AK136" s="652"/>
      <c r="AL136" s="652"/>
      <c r="AM136" s="652"/>
    </row>
    <row r="137" spans="1:39" hidden="1" x14ac:dyDescent="0.2">
      <c r="A137" s="652"/>
      <c r="B137" s="652"/>
      <c r="C137" s="652"/>
      <c r="D137" s="652"/>
      <c r="E137" s="652"/>
      <c r="F137" s="652"/>
      <c r="G137" s="652"/>
      <c r="H137" s="652"/>
      <c r="I137" s="652"/>
      <c r="J137" s="652"/>
      <c r="K137" s="652"/>
      <c r="L137" s="657"/>
      <c r="M137" s="657"/>
      <c r="N137" s="657"/>
      <c r="O137" s="652"/>
      <c r="P137" s="652"/>
      <c r="Q137" s="652"/>
      <c r="R137" s="652"/>
      <c r="S137" s="652"/>
      <c r="T137" s="657"/>
      <c r="U137" s="657"/>
      <c r="V137" s="657"/>
      <c r="W137" s="652"/>
      <c r="X137" s="652"/>
      <c r="Y137" s="652"/>
      <c r="Z137" s="652"/>
      <c r="AA137" s="652"/>
      <c r="AB137" s="652"/>
      <c r="AC137" s="652"/>
      <c r="AD137" s="652"/>
      <c r="AE137" s="652"/>
      <c r="AF137" s="652"/>
      <c r="AG137" s="652"/>
      <c r="AH137" s="652"/>
      <c r="AI137" s="652"/>
      <c r="AJ137" s="652"/>
      <c r="AK137" s="652"/>
      <c r="AL137" s="652"/>
      <c r="AM137" s="652"/>
    </row>
    <row r="138" spans="1:39" hidden="1" x14ac:dyDescent="0.2">
      <c r="A138" s="652"/>
      <c r="B138" s="652"/>
      <c r="C138" s="652"/>
      <c r="D138" s="652"/>
      <c r="E138" s="652"/>
      <c r="F138" s="652"/>
      <c r="G138" s="652"/>
      <c r="H138" s="652"/>
      <c r="I138" s="652"/>
      <c r="J138" s="652"/>
      <c r="K138" s="652"/>
      <c r="L138" s="657"/>
      <c r="M138" s="657"/>
      <c r="N138" s="657"/>
      <c r="O138" s="652"/>
      <c r="P138" s="652"/>
      <c r="Q138" s="652"/>
      <c r="R138" s="652"/>
      <c r="S138" s="652"/>
      <c r="T138" s="657"/>
      <c r="U138" s="657"/>
      <c r="V138" s="657"/>
      <c r="W138" s="652"/>
      <c r="X138" s="652"/>
      <c r="Y138" s="652"/>
      <c r="Z138" s="652"/>
      <c r="AA138" s="652"/>
      <c r="AB138" s="652"/>
      <c r="AC138" s="652"/>
      <c r="AD138" s="652"/>
      <c r="AE138" s="652"/>
      <c r="AF138" s="652"/>
      <c r="AG138" s="652"/>
      <c r="AH138" s="652"/>
      <c r="AI138" s="652"/>
      <c r="AJ138" s="652"/>
      <c r="AK138" s="652"/>
      <c r="AL138" s="652"/>
      <c r="AM138" s="652"/>
    </row>
    <row r="139" spans="1:39" hidden="1" x14ac:dyDescent="0.2">
      <c r="A139" s="652"/>
      <c r="B139" s="652"/>
      <c r="C139" s="652"/>
      <c r="D139" s="652"/>
      <c r="E139" s="652"/>
      <c r="F139" s="652"/>
      <c r="G139" s="652"/>
      <c r="H139" s="652"/>
      <c r="I139" s="652"/>
      <c r="J139" s="652"/>
      <c r="K139" s="652"/>
      <c r="L139" s="657"/>
      <c r="M139" s="657"/>
      <c r="N139" s="657"/>
      <c r="O139" s="652"/>
      <c r="P139" s="652"/>
      <c r="Q139" s="652"/>
      <c r="R139" s="652"/>
      <c r="S139" s="652"/>
      <c r="T139" s="657"/>
      <c r="U139" s="657"/>
      <c r="V139" s="657"/>
      <c r="W139" s="652"/>
      <c r="X139" s="652"/>
      <c r="Y139" s="652"/>
      <c r="Z139" s="652"/>
      <c r="AA139" s="652"/>
      <c r="AB139" s="652"/>
      <c r="AC139" s="652"/>
      <c r="AD139" s="652"/>
      <c r="AE139" s="652"/>
      <c r="AF139" s="652"/>
      <c r="AG139" s="652"/>
      <c r="AH139" s="652"/>
      <c r="AI139" s="652"/>
      <c r="AJ139" s="652"/>
      <c r="AK139" s="652"/>
      <c r="AL139" s="652"/>
      <c r="AM139" s="652"/>
    </row>
    <row r="140" spans="1:39" hidden="1" x14ac:dyDescent="0.2">
      <c r="A140" s="652"/>
      <c r="B140" s="652"/>
      <c r="C140" s="652"/>
      <c r="D140" s="652"/>
      <c r="E140" s="652"/>
      <c r="F140" s="652"/>
      <c r="G140" s="652"/>
      <c r="H140" s="652"/>
      <c r="I140" s="652"/>
      <c r="J140" s="652"/>
      <c r="K140" s="652"/>
      <c r="L140" s="657"/>
      <c r="M140" s="657"/>
      <c r="N140" s="657"/>
      <c r="O140" s="652"/>
      <c r="P140" s="652"/>
      <c r="Q140" s="652"/>
      <c r="R140" s="652"/>
      <c r="S140" s="652"/>
      <c r="T140" s="657"/>
      <c r="U140" s="657"/>
      <c r="V140" s="657"/>
      <c r="W140" s="652"/>
      <c r="X140" s="652"/>
      <c r="Y140" s="652"/>
      <c r="Z140" s="652"/>
      <c r="AA140" s="652"/>
      <c r="AB140" s="652"/>
      <c r="AC140" s="652"/>
      <c r="AD140" s="652"/>
      <c r="AE140" s="652"/>
      <c r="AF140" s="652"/>
      <c r="AG140" s="652"/>
      <c r="AH140" s="652"/>
      <c r="AI140" s="652"/>
      <c r="AJ140" s="652"/>
      <c r="AK140" s="652"/>
      <c r="AL140" s="652"/>
      <c r="AM140" s="652"/>
    </row>
    <row r="141" spans="1:39" hidden="1" x14ac:dyDescent="0.2">
      <c r="A141" s="652"/>
      <c r="B141" s="652"/>
      <c r="C141" s="652"/>
      <c r="D141" s="652"/>
      <c r="E141" s="652"/>
      <c r="F141" s="652"/>
      <c r="G141" s="652"/>
      <c r="H141" s="652"/>
      <c r="I141" s="652"/>
      <c r="J141" s="652"/>
      <c r="K141" s="652"/>
      <c r="L141" s="657"/>
      <c r="M141" s="657"/>
      <c r="N141" s="657"/>
      <c r="O141" s="652"/>
      <c r="P141" s="652"/>
      <c r="Q141" s="652"/>
      <c r="R141" s="652"/>
      <c r="S141" s="652"/>
      <c r="T141" s="657"/>
      <c r="U141" s="657"/>
      <c r="V141" s="657"/>
      <c r="W141" s="652"/>
      <c r="X141" s="652"/>
      <c r="Y141" s="652"/>
      <c r="Z141" s="652"/>
      <c r="AA141" s="652"/>
      <c r="AB141" s="652"/>
      <c r="AC141" s="652"/>
      <c r="AD141" s="652"/>
      <c r="AE141" s="652"/>
      <c r="AF141" s="652"/>
      <c r="AG141" s="652"/>
      <c r="AH141" s="652"/>
      <c r="AI141" s="652"/>
      <c r="AJ141" s="652"/>
      <c r="AK141" s="652"/>
      <c r="AL141" s="652"/>
      <c r="AM141" s="652"/>
    </row>
    <row r="142" spans="1:39" hidden="1" x14ac:dyDescent="0.2">
      <c r="A142" s="652"/>
      <c r="B142" s="652"/>
      <c r="C142" s="652"/>
      <c r="D142" s="652"/>
      <c r="E142" s="652"/>
      <c r="F142" s="652"/>
      <c r="G142" s="652"/>
      <c r="H142" s="652"/>
      <c r="I142" s="652"/>
      <c r="J142" s="652"/>
      <c r="K142" s="652"/>
      <c r="L142" s="657"/>
      <c r="M142" s="657"/>
      <c r="N142" s="657"/>
      <c r="O142" s="652"/>
      <c r="P142" s="652"/>
      <c r="Q142" s="652"/>
      <c r="R142" s="652"/>
      <c r="S142" s="652"/>
      <c r="T142" s="657"/>
      <c r="U142" s="657"/>
      <c r="V142" s="657"/>
      <c r="W142" s="652"/>
      <c r="X142" s="652"/>
      <c r="Y142" s="652"/>
      <c r="Z142" s="652"/>
      <c r="AA142" s="652"/>
      <c r="AB142" s="652"/>
      <c r="AC142" s="652"/>
      <c r="AD142" s="652"/>
      <c r="AE142" s="652"/>
      <c r="AF142" s="652"/>
      <c r="AG142" s="652"/>
      <c r="AH142" s="652"/>
      <c r="AI142" s="652"/>
      <c r="AJ142" s="652"/>
      <c r="AK142" s="652"/>
      <c r="AL142" s="652"/>
      <c r="AM142" s="652"/>
    </row>
    <row r="143" spans="1:39" hidden="1" x14ac:dyDescent="0.2">
      <c r="A143" s="652"/>
      <c r="B143" s="652"/>
      <c r="C143" s="652"/>
      <c r="D143" s="652"/>
      <c r="E143" s="652"/>
      <c r="F143" s="652"/>
      <c r="G143" s="652"/>
      <c r="H143" s="652"/>
      <c r="I143" s="652"/>
      <c r="J143" s="652"/>
      <c r="K143" s="652"/>
      <c r="L143" s="657"/>
      <c r="M143" s="657"/>
      <c r="N143" s="657"/>
      <c r="O143" s="652"/>
      <c r="P143" s="652"/>
      <c r="Q143" s="652"/>
      <c r="R143" s="652"/>
      <c r="S143" s="652"/>
      <c r="T143" s="657"/>
      <c r="U143" s="657"/>
      <c r="V143" s="657"/>
      <c r="W143" s="652"/>
      <c r="X143" s="652"/>
      <c r="Y143" s="652"/>
      <c r="Z143" s="652"/>
      <c r="AA143" s="652"/>
      <c r="AB143" s="652"/>
      <c r="AC143" s="652"/>
      <c r="AD143" s="652"/>
      <c r="AE143" s="652"/>
      <c r="AF143" s="652"/>
      <c r="AG143" s="652"/>
      <c r="AH143" s="652"/>
      <c r="AI143" s="652"/>
      <c r="AJ143" s="652"/>
      <c r="AK143" s="652"/>
      <c r="AL143" s="652"/>
      <c r="AM143" s="652"/>
    </row>
    <row r="144" spans="1:39" hidden="1" x14ac:dyDescent="0.2">
      <c r="A144" s="652"/>
      <c r="B144" s="652"/>
      <c r="C144" s="652"/>
      <c r="D144" s="652"/>
      <c r="E144" s="652"/>
      <c r="F144" s="652"/>
      <c r="G144" s="652"/>
      <c r="H144" s="652"/>
      <c r="I144" s="652"/>
      <c r="J144" s="652"/>
      <c r="K144" s="652"/>
      <c r="L144" s="657"/>
      <c r="M144" s="657"/>
      <c r="N144" s="657"/>
      <c r="O144" s="652"/>
      <c r="P144" s="652"/>
      <c r="Q144" s="652"/>
      <c r="R144" s="652"/>
      <c r="S144" s="652"/>
      <c r="T144" s="657"/>
      <c r="U144" s="657"/>
      <c r="V144" s="657"/>
      <c r="W144" s="652"/>
      <c r="X144" s="652"/>
      <c r="Y144" s="652"/>
      <c r="Z144" s="652"/>
      <c r="AA144" s="652"/>
      <c r="AB144" s="652"/>
      <c r="AC144" s="652"/>
      <c r="AD144" s="652"/>
      <c r="AE144" s="652"/>
      <c r="AF144" s="652"/>
      <c r="AG144" s="652"/>
      <c r="AH144" s="652"/>
      <c r="AI144" s="652"/>
      <c r="AJ144" s="652"/>
      <c r="AK144" s="652"/>
      <c r="AL144" s="652"/>
      <c r="AM144" s="652"/>
    </row>
    <row r="145" spans="1:39"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652"/>
      <c r="AF145" s="652"/>
      <c r="AG145" s="652"/>
      <c r="AH145" s="652"/>
      <c r="AI145" s="652"/>
      <c r="AJ145" s="652"/>
      <c r="AK145" s="652"/>
      <c r="AL145" s="652"/>
      <c r="AM145" s="652"/>
    </row>
    <row r="146" spans="1:39"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652"/>
      <c r="AF146" s="652"/>
      <c r="AG146" s="652"/>
      <c r="AH146" s="652"/>
      <c r="AI146" s="652"/>
      <c r="AJ146" s="652"/>
      <c r="AK146" s="652"/>
      <c r="AL146" s="652"/>
      <c r="AM146" s="652"/>
    </row>
    <row r="147" spans="1:39"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c r="AI148" s="652"/>
      <c r="AJ148" s="652"/>
      <c r="AK148" s="652"/>
      <c r="AL148" s="652"/>
      <c r="AM148" s="652"/>
    </row>
    <row r="149" spans="1:39"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c r="AH149" s="652"/>
      <c r="AI149" s="652"/>
      <c r="AJ149" s="652"/>
      <c r="AK149" s="652"/>
      <c r="AL149" s="652"/>
      <c r="AM149" s="652"/>
    </row>
    <row r="150" spans="1:39" hidden="1" x14ac:dyDescent="0.2">
      <c r="A150" s="652"/>
      <c r="B150" s="652"/>
      <c r="C150" s="652"/>
      <c r="D150" s="652"/>
      <c r="E150" s="652"/>
      <c r="F150" s="652"/>
      <c r="G150" s="652"/>
      <c r="H150" s="652"/>
      <c r="I150" s="652"/>
      <c r="J150" s="652"/>
      <c r="K150" s="652"/>
      <c r="L150" s="657"/>
      <c r="M150" s="657"/>
      <c r="N150" s="657"/>
      <c r="O150" s="652"/>
      <c r="P150" s="652"/>
      <c r="Q150" s="652"/>
      <c r="R150" s="652"/>
      <c r="S150" s="652"/>
      <c r="T150" s="657"/>
      <c r="U150" s="657"/>
      <c r="V150" s="657"/>
      <c r="W150" s="652"/>
      <c r="X150" s="652"/>
      <c r="Y150" s="652"/>
      <c r="Z150" s="652"/>
      <c r="AA150" s="652"/>
      <c r="AB150" s="652"/>
      <c r="AC150" s="652"/>
      <c r="AD150" s="652"/>
      <c r="AE150" s="652"/>
      <c r="AF150" s="652"/>
      <c r="AG150" s="652"/>
      <c r="AH150" s="652"/>
      <c r="AI150" s="652"/>
      <c r="AJ150" s="652"/>
      <c r="AK150" s="652"/>
      <c r="AL150" s="652"/>
      <c r="AM150" s="652"/>
    </row>
    <row r="151" spans="1:39" hidden="1" x14ac:dyDescent="0.2">
      <c r="A151" s="652"/>
      <c r="B151" s="652"/>
      <c r="C151" s="652"/>
      <c r="D151" s="652"/>
      <c r="E151" s="652"/>
      <c r="F151" s="652"/>
      <c r="G151" s="652"/>
      <c r="H151" s="652"/>
      <c r="I151" s="652"/>
      <c r="J151" s="652"/>
      <c r="K151" s="652"/>
      <c r="L151" s="652"/>
      <c r="M151" s="652"/>
      <c r="N151" s="652"/>
      <c r="O151" s="652"/>
      <c r="P151" s="652"/>
      <c r="Q151" s="652"/>
      <c r="R151" s="652"/>
      <c r="S151" s="652"/>
      <c r="T151" s="652"/>
      <c r="U151" s="652"/>
      <c r="V151" s="652"/>
      <c r="W151" s="652"/>
      <c r="X151" s="652"/>
      <c r="Y151" s="652"/>
      <c r="Z151" s="652"/>
      <c r="AA151" s="652"/>
      <c r="AB151" s="652"/>
      <c r="AC151" s="652"/>
      <c r="AD151" s="652"/>
      <c r="AE151" s="652"/>
      <c r="AF151" s="652"/>
      <c r="AG151" s="652"/>
      <c r="AH151" s="652"/>
      <c r="AI151" s="652"/>
      <c r="AJ151" s="652"/>
      <c r="AK151" s="652"/>
      <c r="AL151" s="652"/>
      <c r="AM151" s="652"/>
    </row>
    <row r="152" spans="1:39" hidden="1" x14ac:dyDescent="0.2">
      <c r="A152" s="652"/>
      <c r="B152" s="652"/>
      <c r="C152" s="652"/>
      <c r="D152" s="652"/>
      <c r="E152" s="652"/>
      <c r="F152" s="652"/>
      <c r="G152" s="652"/>
      <c r="H152" s="652"/>
      <c r="I152" s="652"/>
      <c r="J152" s="652"/>
      <c r="K152" s="652"/>
      <c r="L152" s="652"/>
      <c r="M152" s="652"/>
      <c r="N152" s="652"/>
      <c r="O152" s="652"/>
      <c r="P152" s="652"/>
      <c r="Q152" s="652"/>
      <c r="R152" s="652"/>
      <c r="S152" s="652"/>
      <c r="T152" s="652"/>
      <c r="U152" s="652"/>
      <c r="V152" s="652"/>
      <c r="W152" s="652"/>
      <c r="X152" s="652"/>
      <c r="Y152" s="652"/>
      <c r="Z152" s="652"/>
      <c r="AA152" s="652"/>
      <c r="AB152" s="652"/>
      <c r="AC152" s="652"/>
      <c r="AD152" s="652"/>
      <c r="AE152" s="652"/>
      <c r="AF152" s="652"/>
      <c r="AG152" s="652"/>
      <c r="AH152" s="652"/>
      <c r="AI152" s="652"/>
      <c r="AJ152" s="652"/>
      <c r="AK152" s="652"/>
      <c r="AL152" s="652"/>
      <c r="AM152" s="652"/>
    </row>
    <row r="153" spans="1:39" hidden="1" x14ac:dyDescent="0.2">
      <c r="A153" s="652"/>
      <c r="B153" s="652"/>
      <c r="C153" s="652"/>
      <c r="D153" s="652"/>
      <c r="E153" s="652"/>
      <c r="F153" s="652"/>
      <c r="G153" s="652"/>
      <c r="H153" s="652"/>
      <c r="I153" s="652"/>
      <c r="J153" s="652"/>
      <c r="K153" s="652"/>
      <c r="L153" s="652"/>
      <c r="M153" s="652"/>
      <c r="N153" s="652"/>
      <c r="O153" s="652"/>
      <c r="P153" s="652"/>
      <c r="Q153" s="652"/>
      <c r="R153" s="652"/>
      <c r="S153" s="652"/>
      <c r="T153" s="652"/>
      <c r="U153" s="652"/>
      <c r="V153" s="652"/>
      <c r="W153" s="652"/>
      <c r="X153" s="652"/>
      <c r="Y153" s="652"/>
      <c r="Z153" s="652"/>
      <c r="AA153" s="652"/>
      <c r="AB153" s="652"/>
      <c r="AC153" s="652"/>
      <c r="AD153" s="652"/>
      <c r="AE153" s="652"/>
      <c r="AF153" s="652"/>
      <c r="AG153" s="652"/>
      <c r="AH153" s="652"/>
      <c r="AI153" s="652"/>
      <c r="AJ153" s="652"/>
      <c r="AK153" s="652"/>
      <c r="AL153" s="652"/>
      <c r="AM153" s="652"/>
    </row>
    <row r="154" spans="1:39" hidden="1" x14ac:dyDescent="0.2">
      <c r="A154" s="652"/>
      <c r="B154" s="652"/>
      <c r="C154" s="652"/>
      <c r="D154" s="652"/>
      <c r="E154" s="652"/>
      <c r="F154" s="652"/>
      <c r="G154" s="652"/>
      <c r="H154" s="652"/>
      <c r="I154" s="652"/>
      <c r="J154" s="652"/>
      <c r="K154" s="652"/>
      <c r="L154" s="652"/>
      <c r="M154" s="652"/>
      <c r="N154" s="652"/>
      <c r="O154" s="652"/>
      <c r="P154" s="652"/>
      <c r="Q154" s="652"/>
      <c r="R154" s="652"/>
      <c r="S154" s="652"/>
      <c r="T154" s="652"/>
      <c r="U154" s="652"/>
      <c r="V154" s="652"/>
      <c r="W154" s="652"/>
      <c r="X154" s="652"/>
      <c r="Y154" s="652"/>
      <c r="Z154" s="652"/>
      <c r="AA154" s="652"/>
      <c r="AB154" s="652"/>
      <c r="AC154" s="652"/>
      <c r="AD154" s="652"/>
      <c r="AE154" s="652"/>
      <c r="AF154" s="652"/>
      <c r="AG154" s="652"/>
      <c r="AH154" s="652"/>
      <c r="AI154" s="652"/>
      <c r="AJ154" s="652"/>
      <c r="AK154" s="652"/>
      <c r="AL154" s="652"/>
      <c r="AM154" s="652"/>
    </row>
    <row r="155" spans="1:39" hidden="1" x14ac:dyDescent="0.2">
      <c r="A155" s="652"/>
      <c r="B155" s="652"/>
      <c r="C155" s="652"/>
      <c r="D155" s="652"/>
      <c r="E155" s="652"/>
      <c r="F155" s="652"/>
      <c r="G155" s="652"/>
      <c r="H155" s="652"/>
      <c r="I155" s="652"/>
      <c r="J155" s="652"/>
      <c r="K155" s="652"/>
      <c r="L155" s="652"/>
      <c r="M155" s="652"/>
      <c r="N155" s="652"/>
      <c r="O155" s="652"/>
      <c r="P155" s="652"/>
      <c r="Q155" s="652"/>
      <c r="R155" s="652"/>
      <c r="S155" s="652"/>
      <c r="T155" s="652"/>
      <c r="U155" s="652"/>
      <c r="V155" s="652"/>
      <c r="W155" s="652"/>
      <c r="X155" s="652"/>
      <c r="Y155" s="652"/>
      <c r="Z155" s="652"/>
      <c r="AA155" s="652"/>
      <c r="AB155" s="652"/>
      <c r="AC155" s="652"/>
      <c r="AD155" s="652"/>
      <c r="AE155" s="652"/>
      <c r="AF155" s="652"/>
      <c r="AG155" s="652"/>
      <c r="AH155" s="652"/>
      <c r="AI155" s="652"/>
      <c r="AJ155" s="652"/>
      <c r="AK155" s="652"/>
      <c r="AL155" s="652"/>
      <c r="AM155" s="652"/>
    </row>
    <row r="156" spans="1:39" hidden="1" x14ac:dyDescent="0.2">
      <c r="A156" s="652"/>
      <c r="B156" s="652"/>
      <c r="C156" s="652"/>
      <c r="D156" s="652"/>
      <c r="E156" s="652"/>
      <c r="F156" s="652"/>
      <c r="G156" s="652"/>
      <c r="H156" s="652"/>
      <c r="I156" s="652"/>
      <c r="J156" s="652"/>
      <c r="K156" s="652"/>
      <c r="L156" s="652"/>
      <c r="M156" s="652"/>
      <c r="N156" s="652"/>
      <c r="O156" s="652"/>
      <c r="P156" s="652"/>
      <c r="Q156" s="652"/>
      <c r="R156" s="652"/>
      <c r="S156" s="652"/>
      <c r="T156" s="652"/>
      <c r="U156" s="652"/>
      <c r="V156" s="652"/>
      <c r="W156" s="652"/>
      <c r="X156" s="652"/>
      <c r="Y156" s="652"/>
      <c r="Z156" s="652"/>
      <c r="AA156" s="652"/>
      <c r="AB156" s="652"/>
      <c r="AC156" s="652"/>
      <c r="AD156" s="652"/>
      <c r="AE156" s="652"/>
      <c r="AF156" s="652"/>
      <c r="AG156" s="652"/>
      <c r="AH156" s="652"/>
      <c r="AI156" s="652"/>
      <c r="AJ156" s="652"/>
      <c r="AK156" s="652"/>
      <c r="AL156" s="652"/>
      <c r="AM156" s="652"/>
    </row>
    <row r="157" spans="1:39" hidden="1" x14ac:dyDescent="0.2">
      <c r="A157" s="652"/>
      <c r="B157" s="652"/>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652"/>
      <c r="AK157" s="652"/>
      <c r="AL157" s="652"/>
      <c r="AM157" s="652"/>
    </row>
    <row r="158" spans="1:39" hidden="1" x14ac:dyDescent="0.2">
      <c r="A158" s="652"/>
      <c r="B158" s="652"/>
      <c r="C158" s="652"/>
      <c r="D158" s="652"/>
      <c r="E158" s="652"/>
      <c r="F158" s="652"/>
      <c r="G158" s="652"/>
      <c r="H158" s="652"/>
      <c r="I158" s="652"/>
      <c r="J158" s="652"/>
      <c r="K158" s="652"/>
      <c r="L158" s="652"/>
      <c r="M158" s="652"/>
      <c r="N158" s="652"/>
      <c r="O158" s="652"/>
      <c r="P158" s="652"/>
      <c r="Q158" s="652"/>
      <c r="R158" s="652"/>
      <c r="S158" s="652"/>
      <c r="T158" s="652"/>
      <c r="U158" s="652"/>
      <c r="V158" s="652"/>
      <c r="W158" s="652"/>
      <c r="X158" s="652"/>
      <c r="Y158" s="652"/>
      <c r="Z158" s="652"/>
      <c r="AA158" s="652"/>
      <c r="AB158" s="652"/>
      <c r="AC158" s="652"/>
      <c r="AD158" s="652"/>
      <c r="AE158" s="652"/>
      <c r="AF158" s="652"/>
      <c r="AG158" s="652"/>
      <c r="AH158" s="652"/>
      <c r="AI158" s="652"/>
      <c r="AJ158" s="652"/>
      <c r="AK158" s="652"/>
      <c r="AL158" s="652"/>
      <c r="AM158" s="652"/>
    </row>
    <row r="159" spans="1:39" hidden="1" x14ac:dyDescent="0.2">
      <c r="A159" s="652"/>
      <c r="B159" s="652"/>
      <c r="C159" s="652"/>
      <c r="D159" s="652"/>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652"/>
      <c r="AF159" s="652"/>
      <c r="AG159" s="652"/>
      <c r="AH159" s="652"/>
      <c r="AI159" s="652"/>
      <c r="AJ159" s="652"/>
      <c r="AK159" s="652"/>
      <c r="AL159" s="652"/>
      <c r="AM159" s="652"/>
    </row>
    <row r="160" spans="1:39" hidden="1" x14ac:dyDescent="0.2">
      <c r="A160" s="652"/>
      <c r="B160" s="652"/>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row>
    <row r="161" spans="1:39"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row>
    <row r="162" spans="1:39" hidden="1" x14ac:dyDescent="0.2">
      <c r="A162" s="652"/>
      <c r="B162" s="652"/>
      <c r="C162" s="652"/>
      <c r="D162" s="652"/>
      <c r="E162" s="652"/>
      <c r="F162" s="652"/>
      <c r="G162" s="652"/>
      <c r="H162" s="652"/>
      <c r="I162" s="652"/>
      <c r="J162" s="652"/>
      <c r="K162" s="652"/>
      <c r="L162" s="652"/>
      <c r="M162" s="652"/>
      <c r="N162" s="652"/>
      <c r="O162" s="652"/>
      <c r="P162" s="652"/>
      <c r="Q162" s="652"/>
      <c r="R162" s="652"/>
      <c r="S162" s="652"/>
      <c r="T162" s="652"/>
      <c r="U162" s="652"/>
      <c r="V162" s="652"/>
      <c r="W162" s="652"/>
      <c r="X162" s="652"/>
      <c r="Y162" s="652"/>
      <c r="Z162" s="652"/>
      <c r="AA162" s="652"/>
      <c r="AB162" s="652"/>
      <c r="AC162" s="652"/>
      <c r="AD162" s="652"/>
      <c r="AE162" s="652"/>
      <c r="AF162" s="652"/>
      <c r="AG162" s="652"/>
      <c r="AH162" s="652"/>
      <c r="AI162" s="652"/>
      <c r="AJ162" s="652"/>
      <c r="AK162" s="652"/>
      <c r="AL162" s="652"/>
      <c r="AM162" s="652"/>
    </row>
    <row r="163" spans="1:39" hidden="1" x14ac:dyDescent="0.2">
      <c r="A163" s="652"/>
      <c r="B163" s="652"/>
      <c r="C163" s="652"/>
      <c r="D163" s="652"/>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52"/>
      <c r="AE163" s="652"/>
      <c r="AF163" s="652"/>
      <c r="AG163" s="652"/>
      <c r="AH163" s="652"/>
      <c r="AI163" s="652"/>
      <c r="AJ163" s="652"/>
      <c r="AK163" s="652"/>
      <c r="AL163" s="652"/>
      <c r="AM163" s="652"/>
    </row>
    <row r="164" spans="1:39" hidden="1" x14ac:dyDescent="0.2">
      <c r="A164" s="652"/>
      <c r="B164" s="652"/>
      <c r="C164" s="652"/>
      <c r="D164" s="652"/>
      <c r="E164" s="652"/>
      <c r="F164" s="652"/>
      <c r="G164" s="652"/>
      <c r="H164" s="652"/>
      <c r="I164" s="652"/>
      <c r="J164" s="652"/>
      <c r="K164" s="652"/>
      <c r="L164" s="657"/>
      <c r="M164" s="657"/>
      <c r="N164" s="657"/>
      <c r="O164" s="652"/>
      <c r="P164" s="652"/>
      <c r="Q164" s="652"/>
      <c r="R164" s="652"/>
      <c r="S164" s="652"/>
      <c r="T164" s="657"/>
      <c r="U164" s="657"/>
      <c r="V164" s="657"/>
      <c r="W164" s="652"/>
      <c r="X164" s="652"/>
      <c r="Y164" s="652"/>
      <c r="Z164" s="652"/>
      <c r="AA164" s="652"/>
      <c r="AB164" s="652"/>
      <c r="AC164" s="652"/>
      <c r="AD164" s="652"/>
      <c r="AE164" s="652"/>
      <c r="AF164" s="652"/>
      <c r="AG164" s="652"/>
      <c r="AH164" s="652"/>
      <c r="AI164" s="652"/>
      <c r="AJ164" s="652"/>
      <c r="AK164" s="652"/>
      <c r="AL164" s="652"/>
      <c r="AM164" s="652"/>
    </row>
    <row r="165" spans="1:39" hidden="1" x14ac:dyDescent="0.2">
      <c r="A165" s="652"/>
      <c r="B165" s="652"/>
      <c r="C165" s="652"/>
      <c r="D165" s="652"/>
      <c r="E165" s="652"/>
      <c r="F165" s="652"/>
      <c r="G165" s="652"/>
      <c r="H165" s="652"/>
      <c r="I165" s="652"/>
      <c r="J165" s="652"/>
      <c r="K165" s="652"/>
      <c r="L165" s="657"/>
      <c r="M165" s="657"/>
      <c r="N165" s="657"/>
      <c r="O165" s="652"/>
      <c r="P165" s="652"/>
      <c r="Q165" s="652"/>
      <c r="R165" s="652"/>
      <c r="S165" s="652"/>
      <c r="T165" s="657"/>
      <c r="U165" s="657"/>
      <c r="V165" s="657"/>
      <c r="W165" s="652"/>
      <c r="X165" s="652"/>
      <c r="Y165" s="652"/>
      <c r="Z165" s="652"/>
      <c r="AA165" s="652"/>
      <c r="AB165" s="652"/>
      <c r="AC165" s="652"/>
      <c r="AD165" s="652"/>
      <c r="AE165" s="652"/>
      <c r="AF165" s="652"/>
      <c r="AG165" s="652"/>
      <c r="AH165" s="652"/>
      <c r="AI165" s="652"/>
      <c r="AJ165" s="652"/>
      <c r="AK165" s="652"/>
      <c r="AL165" s="652"/>
      <c r="AM165" s="652"/>
    </row>
    <row r="166" spans="1:39" hidden="1" x14ac:dyDescent="0.2">
      <c r="A166" s="652"/>
      <c r="B166" s="652"/>
      <c r="C166" s="652"/>
      <c r="D166" s="652"/>
      <c r="E166" s="652"/>
      <c r="F166" s="652"/>
      <c r="G166" s="652"/>
      <c r="H166" s="652"/>
      <c r="I166" s="652"/>
      <c r="J166" s="652"/>
      <c r="K166" s="652"/>
      <c r="L166" s="657"/>
      <c r="M166" s="657"/>
      <c r="N166" s="657"/>
      <c r="O166" s="652"/>
      <c r="P166" s="652"/>
      <c r="Q166" s="652"/>
      <c r="R166" s="652"/>
      <c r="S166" s="652"/>
      <c r="T166" s="657"/>
      <c r="U166" s="657"/>
      <c r="V166" s="657"/>
      <c r="W166" s="652"/>
      <c r="X166" s="652"/>
      <c r="Y166" s="652"/>
      <c r="Z166" s="652"/>
      <c r="AA166" s="652"/>
      <c r="AB166" s="652"/>
      <c r="AC166" s="652"/>
      <c r="AD166" s="652"/>
      <c r="AE166" s="652"/>
      <c r="AF166" s="652"/>
      <c r="AG166" s="652"/>
      <c r="AH166" s="652"/>
      <c r="AI166" s="652"/>
      <c r="AJ166" s="652"/>
      <c r="AK166" s="652"/>
      <c r="AL166" s="652"/>
      <c r="AM166" s="652"/>
    </row>
    <row r="167" spans="1:39" hidden="1" x14ac:dyDescent="0.2">
      <c r="A167" s="652"/>
      <c r="B167" s="652"/>
      <c r="C167" s="652"/>
      <c r="D167" s="652"/>
      <c r="E167" s="652"/>
      <c r="F167" s="652"/>
      <c r="G167" s="652"/>
      <c r="H167" s="652"/>
      <c r="I167" s="652"/>
      <c r="J167" s="652"/>
      <c r="K167" s="652"/>
      <c r="L167" s="657"/>
      <c r="M167" s="657"/>
      <c r="N167" s="657"/>
      <c r="O167" s="652"/>
      <c r="P167" s="652"/>
      <c r="Q167" s="652"/>
      <c r="R167" s="652"/>
      <c r="S167" s="652"/>
      <c r="T167" s="657"/>
      <c r="U167" s="657"/>
      <c r="V167" s="657"/>
      <c r="W167" s="652"/>
      <c r="X167" s="652"/>
      <c r="Y167" s="652"/>
      <c r="Z167" s="652"/>
      <c r="AA167" s="652"/>
      <c r="AB167" s="652"/>
      <c r="AC167" s="652"/>
      <c r="AD167" s="652"/>
      <c r="AE167" s="652"/>
      <c r="AF167" s="652"/>
      <c r="AG167" s="652"/>
      <c r="AH167" s="652"/>
      <c r="AI167" s="652"/>
      <c r="AJ167" s="652"/>
      <c r="AK167" s="652"/>
      <c r="AL167" s="652"/>
      <c r="AM167" s="652"/>
    </row>
    <row r="168" spans="1:39" hidden="1" x14ac:dyDescent="0.2">
      <c r="A168" s="652"/>
      <c r="B168" s="652"/>
      <c r="C168" s="652"/>
      <c r="D168" s="652"/>
      <c r="E168" s="652"/>
      <c r="F168" s="652"/>
      <c r="G168" s="652"/>
      <c r="H168" s="652"/>
      <c r="I168" s="652"/>
      <c r="J168" s="652"/>
      <c r="K168" s="652"/>
      <c r="L168" s="657"/>
      <c r="M168" s="657"/>
      <c r="N168" s="657"/>
      <c r="O168" s="652"/>
      <c r="P168" s="652"/>
      <c r="Q168" s="652"/>
      <c r="R168" s="652"/>
      <c r="S168" s="652"/>
      <c r="T168" s="657"/>
      <c r="U168" s="657"/>
      <c r="V168" s="657"/>
      <c r="W168" s="652"/>
      <c r="X168" s="652"/>
      <c r="Y168" s="652"/>
      <c r="Z168" s="652"/>
      <c r="AA168" s="652"/>
      <c r="AB168" s="652"/>
      <c r="AC168" s="652"/>
      <c r="AD168" s="652"/>
      <c r="AE168" s="652"/>
      <c r="AF168" s="652"/>
      <c r="AG168" s="652"/>
      <c r="AH168" s="652"/>
      <c r="AI168" s="652"/>
      <c r="AJ168" s="652"/>
      <c r="AK168" s="652"/>
      <c r="AL168" s="652"/>
      <c r="AM168" s="652"/>
    </row>
    <row r="169" spans="1:39" hidden="1" x14ac:dyDescent="0.2">
      <c r="A169" s="652"/>
      <c r="B169" s="652"/>
      <c r="C169" s="652"/>
      <c r="D169" s="652"/>
      <c r="E169" s="652"/>
      <c r="F169" s="652"/>
      <c r="G169" s="652"/>
      <c r="H169" s="652"/>
      <c r="I169" s="652"/>
      <c r="J169" s="652"/>
      <c r="K169" s="652"/>
      <c r="L169" s="657"/>
      <c r="M169" s="657"/>
      <c r="N169" s="657"/>
      <c r="O169" s="652"/>
      <c r="P169" s="652"/>
      <c r="Q169" s="652"/>
      <c r="R169" s="652"/>
      <c r="S169" s="652"/>
      <c r="T169" s="657"/>
      <c r="U169" s="657"/>
      <c r="V169" s="657"/>
      <c r="W169" s="652"/>
      <c r="X169" s="652"/>
      <c r="Y169" s="652"/>
      <c r="Z169" s="652"/>
      <c r="AA169" s="652"/>
      <c r="AB169" s="652"/>
      <c r="AC169" s="652"/>
      <c r="AD169" s="652"/>
      <c r="AE169" s="652"/>
      <c r="AF169" s="652"/>
      <c r="AG169" s="652"/>
      <c r="AH169" s="652"/>
      <c r="AI169" s="652"/>
      <c r="AJ169" s="652"/>
      <c r="AK169" s="652"/>
      <c r="AL169" s="652"/>
      <c r="AM169" s="652"/>
    </row>
    <row r="170" spans="1:39" hidden="1" x14ac:dyDescent="0.2">
      <c r="A170" s="652"/>
      <c r="B170" s="652"/>
      <c r="C170" s="652"/>
      <c r="D170" s="652"/>
      <c r="E170" s="652"/>
      <c r="F170" s="652"/>
      <c r="G170" s="652"/>
      <c r="H170" s="652"/>
      <c r="I170" s="652"/>
      <c r="J170" s="652"/>
      <c r="K170" s="652"/>
      <c r="L170" s="657"/>
      <c r="M170" s="657"/>
      <c r="N170" s="657"/>
      <c r="O170" s="652"/>
      <c r="P170" s="652"/>
      <c r="Q170" s="652"/>
      <c r="R170" s="652"/>
      <c r="S170" s="652"/>
      <c r="T170" s="657"/>
      <c r="U170" s="657"/>
      <c r="V170" s="657"/>
      <c r="W170" s="652"/>
      <c r="X170" s="652"/>
      <c r="Y170" s="652"/>
      <c r="Z170" s="652"/>
      <c r="AA170" s="652"/>
      <c r="AB170" s="652"/>
      <c r="AC170" s="652"/>
      <c r="AD170" s="652"/>
      <c r="AE170" s="652"/>
      <c r="AF170" s="652"/>
      <c r="AG170" s="652"/>
      <c r="AH170" s="652"/>
      <c r="AI170" s="652"/>
      <c r="AJ170" s="652"/>
      <c r="AK170" s="652"/>
      <c r="AL170" s="652"/>
      <c r="AM170" s="652"/>
    </row>
    <row r="171" spans="1:39" hidden="1" x14ac:dyDescent="0.2">
      <c r="A171" s="652"/>
      <c r="B171" s="652"/>
      <c r="C171" s="652"/>
      <c r="D171" s="652"/>
      <c r="E171" s="652"/>
      <c r="F171" s="652"/>
      <c r="G171" s="652"/>
      <c r="H171" s="652"/>
      <c r="I171" s="652"/>
      <c r="J171" s="652"/>
      <c r="K171" s="652"/>
      <c r="L171" s="657"/>
      <c r="M171" s="657"/>
      <c r="N171" s="657"/>
      <c r="O171" s="652"/>
      <c r="P171" s="652"/>
      <c r="Q171" s="652"/>
      <c r="R171" s="652"/>
      <c r="S171" s="652"/>
      <c r="T171" s="657"/>
      <c r="U171" s="657"/>
      <c r="V171" s="657"/>
      <c r="W171" s="652"/>
      <c r="X171" s="652"/>
      <c r="Y171" s="652"/>
      <c r="Z171" s="652"/>
      <c r="AA171" s="652"/>
      <c r="AB171" s="652"/>
      <c r="AC171" s="652"/>
      <c r="AD171" s="652"/>
      <c r="AE171" s="652"/>
      <c r="AF171" s="652"/>
      <c r="AG171" s="652"/>
      <c r="AH171" s="652"/>
      <c r="AI171" s="652"/>
      <c r="AJ171" s="652"/>
      <c r="AK171" s="652"/>
      <c r="AL171" s="652"/>
      <c r="AM171" s="652"/>
    </row>
    <row r="172" spans="1:39" hidden="1" x14ac:dyDescent="0.2">
      <c r="A172" s="652"/>
      <c r="B172" s="652"/>
      <c r="C172" s="652"/>
      <c r="D172" s="652"/>
      <c r="E172" s="652"/>
      <c r="F172" s="652"/>
      <c r="G172" s="652"/>
      <c r="H172" s="652"/>
      <c r="I172" s="652"/>
      <c r="J172" s="652"/>
      <c r="K172" s="652"/>
      <c r="L172" s="657"/>
      <c r="M172" s="657"/>
      <c r="N172" s="657"/>
      <c r="O172" s="652"/>
      <c r="P172" s="652"/>
      <c r="Q172" s="652"/>
      <c r="R172" s="652"/>
      <c r="S172" s="652"/>
      <c r="T172" s="657"/>
      <c r="U172" s="657"/>
      <c r="V172" s="657"/>
      <c r="W172" s="652"/>
      <c r="X172" s="652"/>
      <c r="Y172" s="652"/>
      <c r="Z172" s="652"/>
      <c r="AA172" s="652"/>
      <c r="AB172" s="652"/>
      <c r="AC172" s="652"/>
      <c r="AD172" s="652"/>
      <c r="AE172" s="652"/>
      <c r="AF172" s="652"/>
      <c r="AG172" s="652"/>
      <c r="AH172" s="652"/>
      <c r="AI172" s="652"/>
      <c r="AJ172" s="652"/>
      <c r="AK172" s="652"/>
      <c r="AL172" s="652"/>
      <c r="AM172" s="652"/>
    </row>
    <row r="173" spans="1:39" hidden="1" x14ac:dyDescent="0.2">
      <c r="A173" s="652"/>
      <c r="B173" s="652"/>
      <c r="C173" s="652"/>
      <c r="D173" s="652"/>
      <c r="E173" s="652"/>
      <c r="F173" s="652"/>
      <c r="G173" s="652"/>
      <c r="H173" s="652"/>
      <c r="I173" s="652"/>
      <c r="J173" s="652"/>
      <c r="K173" s="652"/>
      <c r="L173" s="657"/>
      <c r="M173" s="657"/>
      <c r="N173" s="657"/>
      <c r="O173" s="652"/>
      <c r="P173" s="652"/>
      <c r="Q173" s="652"/>
      <c r="R173" s="652"/>
      <c r="S173" s="652"/>
      <c r="T173" s="657"/>
      <c r="U173" s="657"/>
      <c r="V173" s="657"/>
      <c r="W173" s="652"/>
      <c r="X173" s="652"/>
      <c r="Y173" s="652"/>
      <c r="Z173" s="652"/>
      <c r="AA173" s="652"/>
      <c r="AB173" s="652"/>
      <c r="AC173" s="652"/>
      <c r="AD173" s="652"/>
      <c r="AE173" s="652"/>
      <c r="AF173" s="652"/>
      <c r="AG173" s="652"/>
      <c r="AH173" s="652"/>
      <c r="AI173" s="652"/>
      <c r="AJ173" s="652"/>
      <c r="AK173" s="652"/>
      <c r="AL173" s="652"/>
      <c r="AM173" s="652"/>
    </row>
    <row r="174" spans="1:39"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652"/>
      <c r="AF174" s="652"/>
      <c r="AG174" s="652"/>
      <c r="AH174" s="652"/>
      <c r="AI174" s="652"/>
      <c r="AJ174" s="652"/>
      <c r="AK174" s="652"/>
      <c r="AL174" s="652"/>
      <c r="AM174" s="652"/>
    </row>
    <row r="175" spans="1:39"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652"/>
      <c r="AF175" s="652"/>
      <c r="AG175" s="652"/>
      <c r="AH175" s="652"/>
      <c r="AI175" s="652"/>
      <c r="AJ175" s="652"/>
      <c r="AK175" s="652"/>
      <c r="AL175" s="652"/>
      <c r="AM175" s="652"/>
    </row>
    <row r="176" spans="1:39"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c r="AI284" s="652"/>
      <c r="AJ284" s="652"/>
      <c r="AK284" s="652"/>
      <c r="AL284" s="652"/>
      <c r="AM284" s="652"/>
    </row>
    <row r="285" spans="1:39"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c r="AH285" s="652"/>
      <c r="AI285" s="652"/>
      <c r="AJ285" s="652"/>
      <c r="AK285" s="652"/>
      <c r="AL285" s="652"/>
      <c r="AM285" s="652"/>
    </row>
    <row r="286" spans="1:39" hidden="1" x14ac:dyDescent="0.2">
      <c r="A286" s="652"/>
      <c r="B286" s="652"/>
      <c r="C286" s="652"/>
      <c r="D286" s="652"/>
      <c r="E286" s="652"/>
      <c r="F286" s="652"/>
      <c r="G286" s="652"/>
      <c r="H286" s="652"/>
      <c r="I286" s="652"/>
      <c r="J286" s="652"/>
      <c r="K286" s="652"/>
      <c r="L286" s="657"/>
      <c r="M286" s="657"/>
      <c r="N286" s="657"/>
      <c r="O286" s="652"/>
      <c r="P286" s="652"/>
      <c r="Q286" s="652"/>
      <c r="R286" s="652"/>
      <c r="S286" s="652"/>
      <c r="T286" s="657"/>
      <c r="U286" s="657"/>
      <c r="V286" s="657"/>
      <c r="W286" s="652"/>
      <c r="X286" s="652"/>
      <c r="Y286" s="652"/>
      <c r="Z286" s="652"/>
      <c r="AA286" s="652"/>
      <c r="AB286" s="652"/>
      <c r="AC286" s="652"/>
      <c r="AD286" s="652"/>
      <c r="AE286" s="652"/>
      <c r="AF286" s="652"/>
      <c r="AG286" s="652"/>
      <c r="AH286" s="652"/>
      <c r="AI286" s="652"/>
      <c r="AJ286" s="652"/>
      <c r="AK286" s="652"/>
      <c r="AL286" s="652"/>
      <c r="AM286" s="652"/>
    </row>
    <row r="287" spans="1:39" hidden="1" x14ac:dyDescent="0.2">
      <c r="D287" s="698"/>
      <c r="E287" s="698"/>
      <c r="F287" s="652"/>
      <c r="G287" s="652"/>
      <c r="H287" s="652"/>
      <c r="I287" s="652"/>
      <c r="J287" s="652"/>
      <c r="K287" s="652"/>
      <c r="L287" s="652"/>
      <c r="M287" s="652"/>
      <c r="N287" s="652"/>
      <c r="O287" s="652"/>
      <c r="P287" s="652"/>
      <c r="Q287" s="652"/>
      <c r="R287" s="652"/>
      <c r="S287" s="652"/>
      <c r="T287" s="652"/>
      <c r="U287" s="652"/>
      <c r="V287" s="652"/>
      <c r="W287" s="652"/>
      <c r="X287" s="652"/>
      <c r="Y287" s="652"/>
      <c r="Z287" s="652"/>
      <c r="AA287" s="652"/>
      <c r="AB287" s="652"/>
      <c r="AC287" s="652"/>
      <c r="AD287" s="652"/>
      <c r="AE287" s="652"/>
      <c r="AF287" s="652"/>
      <c r="AG287" s="652"/>
      <c r="AH287" s="652"/>
      <c r="AI287" s="652"/>
      <c r="AJ287" s="652"/>
      <c r="AK287" s="652"/>
      <c r="AL287" s="652"/>
      <c r="AM287" s="652"/>
    </row>
    <row r="288" spans="1:39" hidden="1" x14ac:dyDescent="0.2">
      <c r="D288" s="702"/>
      <c r="E288" s="702"/>
      <c r="F288" s="652"/>
      <c r="G288" s="652"/>
      <c r="H288" s="652"/>
      <c r="I288" s="652"/>
      <c r="J288" s="652"/>
      <c r="K288" s="652"/>
      <c r="L288" s="652"/>
      <c r="M288" s="652"/>
      <c r="N288" s="652"/>
      <c r="O288" s="652"/>
      <c r="P288" s="652"/>
      <c r="Q288" s="652"/>
      <c r="R288" s="652"/>
      <c r="S288" s="652"/>
      <c r="T288" s="652"/>
      <c r="U288" s="652"/>
      <c r="V288" s="652"/>
      <c r="W288" s="652"/>
      <c r="X288" s="652"/>
      <c r="Y288" s="652"/>
      <c r="Z288" s="652"/>
      <c r="AA288" s="652"/>
      <c r="AB288" s="652"/>
      <c r="AC288" s="652"/>
      <c r="AD288" s="652"/>
      <c r="AE288" s="652"/>
      <c r="AF288" s="652"/>
      <c r="AG288" s="652"/>
      <c r="AH288" s="652"/>
      <c r="AI288" s="652"/>
      <c r="AJ288" s="652"/>
      <c r="AK288" s="652"/>
      <c r="AL288" s="652"/>
      <c r="AM288" s="652"/>
    </row>
    <row r="289" spans="1:39" hidden="1" x14ac:dyDescent="0.2">
      <c r="D289" s="653"/>
      <c r="E289" s="653"/>
      <c r="F289" s="652"/>
      <c r="G289" s="652"/>
      <c r="H289" s="652"/>
      <c r="I289" s="652"/>
      <c r="J289" s="652"/>
      <c r="K289" s="652"/>
      <c r="L289" s="652"/>
      <c r="M289" s="652"/>
      <c r="N289" s="652"/>
      <c r="O289" s="652"/>
      <c r="P289" s="652"/>
      <c r="Q289" s="652"/>
      <c r="R289" s="652"/>
      <c r="S289" s="652"/>
      <c r="T289" s="652"/>
      <c r="U289" s="652"/>
      <c r="V289" s="652"/>
      <c r="W289" s="703"/>
      <c r="X289" s="652"/>
      <c r="Y289" s="652"/>
      <c r="Z289" s="652"/>
      <c r="AA289" s="652"/>
      <c r="AB289" s="652"/>
      <c r="AC289" s="652"/>
      <c r="AD289" s="652"/>
      <c r="AE289" s="652"/>
      <c r="AF289" s="652"/>
      <c r="AG289" s="652"/>
      <c r="AH289" s="652"/>
      <c r="AI289" s="652"/>
      <c r="AJ289" s="652"/>
      <c r="AK289" s="652"/>
      <c r="AL289" s="652"/>
      <c r="AM289" s="652"/>
    </row>
    <row r="290" spans="1:39" hidden="1" x14ac:dyDescent="0.2">
      <c r="D290" s="653"/>
      <c r="E290" s="653"/>
      <c r="F290" s="65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c r="AI290" s="652"/>
      <c r="AJ290" s="652"/>
      <c r="AK290" s="652"/>
      <c r="AL290" s="652"/>
      <c r="AM290" s="652"/>
    </row>
    <row r="291" spans="1:39" hidden="1" x14ac:dyDescent="0.2">
      <c r="D291" s="653"/>
      <c r="E291" s="653"/>
      <c r="F291" s="652"/>
      <c r="G291" s="652"/>
      <c r="H291" s="652"/>
      <c r="I291" s="652"/>
      <c r="J291" s="652"/>
      <c r="K291" s="652"/>
      <c r="L291" s="652"/>
      <c r="M291" s="652"/>
      <c r="N291" s="652"/>
      <c r="O291" s="652"/>
      <c r="P291" s="652"/>
      <c r="Q291" s="652"/>
      <c r="R291" s="652"/>
      <c r="S291" s="652"/>
      <c r="T291" s="652"/>
      <c r="U291" s="652"/>
      <c r="V291" s="652"/>
      <c r="W291" s="652"/>
      <c r="X291" s="652"/>
      <c r="Y291" s="652"/>
      <c r="Z291" s="652"/>
      <c r="AA291" s="652"/>
      <c r="AB291" s="652"/>
      <c r="AC291" s="652"/>
      <c r="AD291" s="652"/>
      <c r="AE291" s="652"/>
      <c r="AF291" s="652"/>
      <c r="AG291" s="652"/>
      <c r="AH291" s="652"/>
      <c r="AI291" s="652"/>
      <c r="AJ291" s="652"/>
      <c r="AK291" s="652"/>
      <c r="AL291" s="652"/>
      <c r="AM291" s="652"/>
    </row>
    <row r="292" spans="1:39" hidden="1" x14ac:dyDescent="0.2">
      <c r="D292" s="653"/>
      <c r="E292" s="653"/>
      <c r="F292" s="65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652"/>
      <c r="AF292" s="652"/>
      <c r="AG292" s="652"/>
      <c r="AH292" s="652"/>
      <c r="AI292" s="652"/>
      <c r="AJ292" s="652"/>
      <c r="AK292" s="652"/>
      <c r="AL292" s="652"/>
      <c r="AM292" s="652"/>
    </row>
    <row r="293" spans="1:39" hidden="1" x14ac:dyDescent="0.2">
      <c r="D293" s="653"/>
      <c r="E293" s="653"/>
      <c r="F293" s="65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652"/>
      <c r="AI293" s="652"/>
      <c r="AJ293" s="652"/>
      <c r="AK293" s="652"/>
      <c r="AL293" s="652"/>
      <c r="AM293" s="652"/>
    </row>
    <row r="294" spans="1:39" hidden="1" x14ac:dyDescent="0.2">
      <c r="D294" s="653"/>
      <c r="E294" s="653"/>
      <c r="F294" s="652"/>
      <c r="G294" s="652"/>
      <c r="H294" s="652"/>
      <c r="I294" s="652"/>
      <c r="J294" s="652"/>
      <c r="K294" s="652"/>
      <c r="L294" s="652"/>
      <c r="M294" s="652"/>
      <c r="N294" s="652"/>
      <c r="O294" s="652"/>
      <c r="P294" s="652"/>
      <c r="Q294" s="652"/>
      <c r="R294" s="652"/>
      <c r="S294" s="652"/>
      <c r="T294" s="652"/>
      <c r="U294" s="652"/>
      <c r="V294" s="652"/>
      <c r="W294" s="703"/>
      <c r="X294" s="652"/>
      <c r="Y294" s="652"/>
      <c r="Z294" s="652"/>
      <c r="AA294" s="652"/>
      <c r="AB294" s="652"/>
      <c r="AC294" s="652"/>
      <c r="AD294" s="652"/>
      <c r="AE294" s="652"/>
      <c r="AF294" s="652"/>
      <c r="AG294" s="652"/>
      <c r="AH294" s="652"/>
      <c r="AI294" s="652"/>
      <c r="AJ294" s="652"/>
      <c r="AK294" s="652"/>
      <c r="AL294" s="652"/>
      <c r="AM294" s="652"/>
    </row>
    <row r="295" spans="1:39" hidden="1" x14ac:dyDescent="0.2">
      <c r="D295" s="653"/>
      <c r="E295" s="653"/>
      <c r="F295" s="652"/>
      <c r="G295" s="652"/>
      <c r="H295" s="652"/>
      <c r="I295" s="65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652"/>
      <c r="AF295" s="652"/>
      <c r="AG295" s="652"/>
      <c r="AH295" s="652"/>
      <c r="AI295" s="652"/>
      <c r="AJ295" s="652"/>
      <c r="AK295" s="652"/>
      <c r="AL295" s="652"/>
      <c r="AM295" s="652"/>
    </row>
    <row r="296" spans="1:39" hidden="1" x14ac:dyDescent="0.2">
      <c r="D296" s="653"/>
      <c r="E296" s="653"/>
      <c r="F296" s="652"/>
      <c r="G296" s="652"/>
      <c r="H296" s="652"/>
      <c r="I296" s="652"/>
      <c r="J296" s="652"/>
      <c r="K296" s="652"/>
      <c r="L296" s="652"/>
      <c r="M296" s="652"/>
      <c r="N296" s="652"/>
      <c r="O296" s="652"/>
      <c r="P296" s="652"/>
      <c r="Q296" s="652"/>
      <c r="R296" s="652"/>
      <c r="S296" s="652"/>
      <c r="T296" s="652"/>
      <c r="U296" s="652"/>
      <c r="V296" s="652"/>
      <c r="W296" s="652"/>
      <c r="X296" s="652"/>
      <c r="Y296" s="652"/>
      <c r="Z296" s="652"/>
      <c r="AA296" s="652"/>
      <c r="AB296" s="652"/>
      <c r="AC296" s="652"/>
      <c r="AD296" s="652"/>
      <c r="AE296" s="652"/>
      <c r="AF296" s="652"/>
      <c r="AG296" s="652"/>
      <c r="AH296" s="652"/>
      <c r="AI296" s="652"/>
      <c r="AJ296" s="652"/>
      <c r="AK296" s="652"/>
      <c r="AL296" s="652"/>
      <c r="AM296" s="652"/>
    </row>
    <row r="297" spans="1:39" hidden="1" x14ac:dyDescent="0.2">
      <c r="D297" s="653"/>
      <c r="E297" s="653"/>
      <c r="F297" s="65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652"/>
      <c r="AF297" s="652"/>
      <c r="AG297" s="652"/>
      <c r="AH297" s="652"/>
      <c r="AI297" s="652"/>
      <c r="AJ297" s="652"/>
      <c r="AK297" s="652"/>
      <c r="AL297" s="652"/>
      <c r="AM297" s="652"/>
    </row>
    <row r="298" spans="1:39" x14ac:dyDescent="0.2">
      <c r="D298" s="652"/>
      <c r="E298" s="652"/>
      <c r="F298" s="652"/>
      <c r="G298" s="652"/>
      <c r="H298" s="652"/>
      <c r="I298" s="652"/>
      <c r="J298" s="652"/>
      <c r="K298" s="652"/>
      <c r="L298" s="652"/>
      <c r="M298" s="652"/>
      <c r="N298" s="652"/>
      <c r="O298" s="652"/>
      <c r="P298" s="652"/>
      <c r="Q298" s="652"/>
      <c r="R298" s="652"/>
      <c r="S298" s="652"/>
      <c r="T298" s="652"/>
      <c r="U298" s="652"/>
      <c r="V298" s="652"/>
      <c r="W298" s="652"/>
      <c r="X298" s="652"/>
      <c r="Y298" s="652"/>
      <c r="Z298" s="652"/>
      <c r="AA298" s="652"/>
      <c r="AB298" s="652"/>
      <c r="AC298" s="652"/>
      <c r="AD298" s="652"/>
      <c r="AE298" s="652"/>
      <c r="AF298" s="652"/>
      <c r="AG298" s="652"/>
      <c r="AH298" s="652"/>
      <c r="AI298" s="652"/>
      <c r="AJ298" s="652"/>
      <c r="AK298" s="652"/>
      <c r="AL298" s="652"/>
      <c r="AM298" s="652"/>
    </row>
    <row r="299" spans="1:39" x14ac:dyDescent="0.2">
      <c r="A299" s="652"/>
      <c r="B299" s="652"/>
      <c r="C299" s="697" t="s">
        <v>182</v>
      </c>
      <c r="D299" s="652"/>
      <c r="E299" s="652"/>
      <c r="F299" s="652"/>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c r="AH299" s="652"/>
      <c r="AI299" s="652"/>
      <c r="AJ299" s="652"/>
      <c r="AK299" s="652"/>
      <c r="AL299" s="652"/>
      <c r="AM299" s="652"/>
    </row>
    <row r="300" spans="1:39" x14ac:dyDescent="0.2">
      <c r="A300" s="699">
        <v>1</v>
      </c>
      <c r="B300" s="700" t="str">
        <f t="shared" ref="B300:B311" si="10">IFERROR(INDEX(B$1:B$88,MATCH(A300,A$1:A$88,0)),"")</f>
        <v>Matti Vinni, Vello Vasser</v>
      </c>
      <c r="C300" s="701">
        <f t="shared" ref="C300:C311" si="11">IF(21-A300&gt;0,IF(OR(A300=A301,A299=A300),21-A300-0.5,21-A300),1)</f>
        <v>20</v>
      </c>
    </row>
    <row r="301" spans="1:39" x14ac:dyDescent="0.2">
      <c r="A301" s="699">
        <v>2</v>
      </c>
      <c r="B301" s="700" t="str">
        <f t="shared" si="10"/>
        <v>Fredi Müür, Kenneth Muusikus</v>
      </c>
      <c r="C301" s="701">
        <f t="shared" si="11"/>
        <v>19</v>
      </c>
    </row>
    <row r="302" spans="1:39" x14ac:dyDescent="0.2">
      <c r="A302" s="699">
        <v>3</v>
      </c>
      <c r="B302" s="700" t="str">
        <f t="shared" si="10"/>
        <v>Karla Purgats, Lemmit Toomra</v>
      </c>
      <c r="C302" s="701">
        <f t="shared" si="11"/>
        <v>18</v>
      </c>
    </row>
    <row r="303" spans="1:39" x14ac:dyDescent="0.2">
      <c r="A303" s="699">
        <v>4</v>
      </c>
      <c r="B303" s="700" t="str">
        <f t="shared" si="10"/>
        <v>Oksana Rõndenkova, Oleg Rõndenkov</v>
      </c>
      <c r="C303" s="701">
        <f t="shared" si="11"/>
        <v>17</v>
      </c>
    </row>
    <row r="304" spans="1:39" x14ac:dyDescent="0.2">
      <c r="A304" s="699">
        <v>5</v>
      </c>
      <c r="B304" s="700" t="str">
        <f t="shared" si="10"/>
        <v>Elmo Lageda, Tõnu Piik</v>
      </c>
      <c r="C304" s="701">
        <f t="shared" si="11"/>
        <v>16</v>
      </c>
    </row>
    <row r="305" spans="1:3" x14ac:dyDescent="0.2">
      <c r="A305" s="699">
        <v>6</v>
      </c>
      <c r="B305" s="700" t="str">
        <f t="shared" si="10"/>
        <v>Illar Tõnurist, Kaspar Mänd, Urmas Jõeäär</v>
      </c>
      <c r="C305" s="701">
        <f t="shared" si="11"/>
        <v>15</v>
      </c>
    </row>
    <row r="306" spans="1:3" x14ac:dyDescent="0.2">
      <c r="A306" s="699">
        <v>7</v>
      </c>
      <c r="B306" s="700" t="str">
        <f t="shared" si="10"/>
        <v>Andres Veski, Svetlana Veski</v>
      </c>
      <c r="C306" s="701">
        <f t="shared" si="11"/>
        <v>14</v>
      </c>
    </row>
    <row r="307" spans="1:3" x14ac:dyDescent="0.2">
      <c r="A307" s="699">
        <v>8</v>
      </c>
      <c r="B307" s="700" t="str">
        <f t="shared" si="10"/>
        <v>Meelis Luud, Sander Rose</v>
      </c>
      <c r="C307" s="701">
        <f t="shared" si="11"/>
        <v>13</v>
      </c>
    </row>
    <row r="308" spans="1:3" x14ac:dyDescent="0.2">
      <c r="A308" s="699">
        <v>9</v>
      </c>
      <c r="B308" s="700" t="str">
        <f t="shared" si="10"/>
        <v>Johannes Neiland, Liidia Põllu</v>
      </c>
      <c r="C308" s="701">
        <f t="shared" si="11"/>
        <v>12</v>
      </c>
    </row>
    <row r="309" spans="1:3" x14ac:dyDescent="0.2">
      <c r="A309" s="699">
        <v>10</v>
      </c>
      <c r="B309" s="700" t="str">
        <f t="shared" si="10"/>
        <v>Henri Mitt, Urmas Randlaine</v>
      </c>
      <c r="C309" s="701">
        <f t="shared" si="11"/>
        <v>11</v>
      </c>
    </row>
    <row r="310" spans="1:3" x14ac:dyDescent="0.2">
      <c r="A310" s="699">
        <v>11</v>
      </c>
      <c r="B310" s="700" t="str">
        <f t="shared" si="10"/>
        <v>Boriss Klubov, Tõnu Kapper</v>
      </c>
      <c r="C310" s="701">
        <f t="shared" si="11"/>
        <v>10</v>
      </c>
    </row>
    <row r="311" spans="1:3" x14ac:dyDescent="0.2">
      <c r="A311" s="699">
        <v>12</v>
      </c>
      <c r="B311" s="700" t="str">
        <f t="shared" si="10"/>
        <v>Enn Tokman, Tarmo Bombe</v>
      </c>
      <c r="C311" s="701">
        <f t="shared" si="11"/>
        <v>9</v>
      </c>
    </row>
  </sheetData>
  <conditionalFormatting sqref="C8:C19">
    <cfRule type="expression" dxfId="439" priority="18">
      <formula>IF($C8&gt;$E8,TRUE)</formula>
    </cfRule>
  </conditionalFormatting>
  <conditionalFormatting sqref="E8:E19">
    <cfRule type="expression" dxfId="438" priority="19">
      <formula>IF($C8&lt;$E8,TRUE)</formula>
    </cfRule>
  </conditionalFormatting>
  <conditionalFormatting sqref="K8:K19">
    <cfRule type="expression" dxfId="437" priority="26">
      <formula>IF($K8&gt;$M8,TRUE)</formula>
    </cfRule>
  </conditionalFormatting>
  <conditionalFormatting sqref="M8:M19">
    <cfRule type="expression" dxfId="436" priority="27">
      <formula>IF($K8&lt;$M8,TRUE)</formula>
    </cfRule>
  </conditionalFormatting>
  <conditionalFormatting sqref="O8:O19">
    <cfRule type="expression" dxfId="435" priority="30">
      <formula>IF($O8&gt;$Q8,TRUE)</formula>
    </cfRule>
  </conditionalFormatting>
  <conditionalFormatting sqref="Q8:Q19">
    <cfRule type="expression" dxfId="434" priority="31">
      <formula>IF($O8&lt;$Q8,TRUE)</formula>
    </cfRule>
  </conditionalFormatting>
  <conditionalFormatting sqref="S8:S19">
    <cfRule type="expression" dxfId="433" priority="34">
      <formula>IF($S8&gt;$U8,TRUE)</formula>
    </cfRule>
  </conditionalFormatting>
  <conditionalFormatting sqref="U8:U19">
    <cfRule type="expression" dxfId="432" priority="35">
      <formula>IF($S8&lt;$U8,TRUE)</formula>
    </cfRule>
  </conditionalFormatting>
  <conditionalFormatting sqref="G8:G19">
    <cfRule type="expression" dxfId="431" priority="22">
      <formula>IF($G8&gt;$I8,TRUE)</formula>
    </cfRule>
  </conditionalFormatting>
  <conditionalFormatting sqref="I8:I19">
    <cfRule type="expression" dxfId="430" priority="23">
      <formula>IF($G8&lt;$I8,TRUE)</formula>
    </cfRule>
  </conditionalFormatting>
  <conditionalFormatting sqref="F8:F19">
    <cfRule type="containsText" dxfId="429" priority="9" operator="containsText" text="vaba voor">
      <formula>NOT(ISERROR(SEARCH("vaba voor",F8)))</formula>
    </cfRule>
  </conditionalFormatting>
  <conditionalFormatting sqref="N8:N19">
    <cfRule type="containsText" dxfId="428" priority="7" operator="containsText" text="vaba voor">
      <formula>NOT(ISERROR(SEARCH("vaba voor",N8)))</formula>
    </cfRule>
  </conditionalFormatting>
  <conditionalFormatting sqref="R8:R19">
    <cfRule type="containsText" dxfId="427" priority="10" operator="containsText" text="vaba voor">
      <formula>NOT(ISERROR(SEARCH("vaba voor",R8)))</formula>
    </cfRule>
  </conditionalFormatting>
  <conditionalFormatting sqref="V8:V19">
    <cfRule type="containsText" dxfId="426" priority="6" operator="containsText" text="vaba voor">
      <formula>NOT(ISERROR(SEARCH("vaba voor",V8)))</formula>
    </cfRule>
  </conditionalFormatting>
  <conditionalFormatting sqref="J8:J19">
    <cfRule type="containsText" dxfId="425" priority="8" operator="containsText" text="vaba voor">
      <formula>NOT(ISERROR(SEARCH("vaba voor",J8)))</formula>
    </cfRule>
  </conditionalFormatting>
  <conditionalFormatting sqref="C8:F19">
    <cfRule type="expression" dxfId="424" priority="14">
      <formula>IF(AND(ISNUMBER($C8),$C8=$E8),TRUE)</formula>
    </cfRule>
    <cfRule type="expression" dxfId="423" priority="16">
      <formula>IF($C8&gt;$E8,TRUE)</formula>
    </cfRule>
    <cfRule type="expression" dxfId="422" priority="17">
      <formula>IF($C8&lt;$E8,TRUE)</formula>
    </cfRule>
  </conditionalFormatting>
  <conditionalFormatting sqref="G8:J19">
    <cfRule type="expression" dxfId="421" priority="15">
      <formula>IF(AND(ISNUMBER($G8),$G8=$I8),TRUE)</formula>
    </cfRule>
    <cfRule type="expression" dxfId="420" priority="20">
      <formula>IF($G8&gt;$I8,TRUE)</formula>
    </cfRule>
    <cfRule type="expression" dxfId="419" priority="21">
      <formula>IF($G8&lt;$I8,TRUE)</formula>
    </cfRule>
  </conditionalFormatting>
  <conditionalFormatting sqref="K8:N19">
    <cfRule type="expression" dxfId="418" priority="13">
      <formula>IF(AND(ISNUMBER($K8),$K8=$M8),TRUE)</formula>
    </cfRule>
    <cfRule type="expression" dxfId="417" priority="24">
      <formula>IF($K8&gt;$M8,TRUE)</formula>
    </cfRule>
    <cfRule type="expression" dxfId="416" priority="25">
      <formula>IF($K8&lt;$M8,TRUE)</formula>
    </cfRule>
  </conditionalFormatting>
  <conditionalFormatting sqref="O8:R19">
    <cfRule type="expression" dxfId="415" priority="12">
      <formula>IF(AND(ISNUMBER($O8),$O8=$Q8),TRUE)</formula>
    </cfRule>
    <cfRule type="expression" dxfId="414" priority="28">
      <formula>IF($O8&gt;$Q8,TRUE)</formula>
    </cfRule>
    <cfRule type="expression" dxfId="413" priority="29">
      <formula>IF($O8&lt;$Q8,TRUE)</formula>
    </cfRule>
  </conditionalFormatting>
  <conditionalFormatting sqref="S8:V19">
    <cfRule type="expression" dxfId="412" priority="11">
      <formula>IF(AND(ISNUMBER($S8),$S8=$U8),TRUE)</formula>
    </cfRule>
    <cfRule type="expression" dxfId="411" priority="32">
      <formula>IF($S8&gt;$U8,TRUE)</formula>
    </cfRule>
    <cfRule type="expression" dxfId="410" priority="33">
      <formula>IF($S8&lt;$U8,TRUE)</formula>
    </cfRule>
  </conditionalFormatting>
  <conditionalFormatting sqref="C8:C19 G8:G19 K8:K19 O8:O19 S8:S19">
    <cfRule type="expression" dxfId="409" priority="4">
      <formula>AND(C8=0,E8=13)</formula>
    </cfRule>
  </conditionalFormatting>
  <conditionalFormatting sqref="E8:E19 I8:I19 M8:M19 Q8:Q19 U8:U19">
    <cfRule type="expression" dxfId="408" priority="5">
      <formula>AND(E8=0,C8=13)</formula>
    </cfRule>
  </conditionalFormatting>
  <conditionalFormatting sqref="AF8:AF19 AJ8:AJ19 AL8:AL19">
    <cfRule type="expression" dxfId="407" priority="1">
      <formula>AND(AE8="",COUNTIF(AF8,"*,*")=0)</formula>
    </cfRule>
  </conditionalFormatting>
  <conditionalFormatting sqref="AH8:AH19">
    <cfRule type="expression" dxfId="406" priority="2">
      <formula>AND(AG8="",FIND(",",AH8))</formula>
    </cfRule>
    <cfRule type="expression" dxfId="405" priority="3">
      <formula>AND(AG8="",COUNTIF(AH8,"*,*")=0)</formula>
    </cfRule>
  </conditionalFormatting>
  <conditionalFormatting sqref="A300:A311">
    <cfRule type="duplicateValues" dxfId="404" priority="82"/>
  </conditionalFormatting>
  <conditionalFormatting sqref="A8:A19">
    <cfRule type="duplicateValues" dxfId="403" priority="130"/>
  </conditionalFormatting>
  <conditionalFormatting sqref="B300:B311">
    <cfRule type="expression" dxfId="402" priority="164">
      <formula>A300=3</formula>
    </cfRule>
    <cfRule type="expression" dxfId="401" priority="165">
      <formula>A300=2</formula>
    </cfRule>
    <cfRule type="expression" dxfId="400" priority="166">
      <formula>A300=1</formula>
    </cfRule>
    <cfRule type="containsBlanks" dxfId="399" priority="167">
      <formula>LEN(TRIM(B300))=0</formula>
    </cfRule>
    <cfRule type="duplicateValues" dxfId="398" priority="168"/>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M314"/>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33.28515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8.28515625" hidden="1" customWidth="1"/>
    <col min="33" max="33" width="9.140625" hidden="1" customWidth="1"/>
    <col min="34" max="34" width="18.7109375" hidden="1" customWidth="1"/>
    <col min="35" max="35" width="9.140625" hidden="1" customWidth="1"/>
    <col min="36" max="36" width="17.28515625" hidden="1" customWidth="1"/>
    <col min="37" max="37" width="9.140625" hidden="1" customWidth="1"/>
    <col min="38" max="38" width="13.85546875" hidden="1" customWidth="1"/>
  </cols>
  <sheetData>
    <row r="1" spans="1:39" x14ac:dyDescent="0.2">
      <c r="A1" s="742" t="str">
        <f>UPPER((Kalend!E28)&amp;" - "&amp;(Kalend!C28)&amp;" - "&amp;(Kalend!D28))</f>
        <v>V5 - VOKA 6. KV 5. ETAPP - DUO</v>
      </c>
      <c r="B1" s="652"/>
      <c r="C1" s="653"/>
      <c r="D1" s="652"/>
      <c r="E1" s="652"/>
      <c r="F1" s="410" t="str">
        <f>HYPERLINK("#Kalend!I1","Kalender")</f>
        <v>Kalender</v>
      </c>
      <c r="G1" s="410"/>
      <c r="H1" s="410"/>
      <c r="I1" s="410"/>
      <c r="J1" s="654" t="str">
        <f>HYPERLINK("#V!AB1","Reiting")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tr">
        <f>"Toimumisaeg: "&amp;(Kalend!A28)&amp;" kell "&amp;(Kalend!B28)</f>
        <v>Toimumisaeg: K, 10.07.2019 kell 18:00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2"/>
      <c r="AE2" s="652"/>
      <c r="AF2" s="652"/>
      <c r="AG2" s="652"/>
      <c r="AH2" s="652"/>
      <c r="AI2" s="652"/>
      <c r="AJ2" s="652"/>
      <c r="AK2" s="652"/>
      <c r="AL2" s="652"/>
      <c r="AM2" s="652"/>
    </row>
    <row r="3" spans="1:39" x14ac:dyDescent="0.2">
      <c r="A3" s="659" t="str">
        <f>"Toimumiskoht: "&amp;(Kalend!F28)</f>
        <v>Toimumiskoht: Voka staadion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tr">
        <f>"Korraldaja: "&amp;(Kalend!G28)</f>
        <v>Korraldaja: Johannes Neiland</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x14ac:dyDescent="0.2">
      <c r="A8" s="685">
        <v>1</v>
      </c>
      <c r="B8" s="686" t="s">
        <v>410</v>
      </c>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708">
        <f t="shared" ref="AD8" si="0">SUM(AE8:AL8)</f>
        <v>222</v>
      </c>
      <c r="AE8" s="709">
        <f>IFERROR(INDEX(V!R$7:R$62,MATCH(AF8,V!L$7:L$62,0)),"")</f>
        <v>74</v>
      </c>
      <c r="AF8" s="710" t="str">
        <f t="shared" ref="AF8:AF22" si="1">IFERROR(LEFT(B8,(FIND(",",B8,1)-1)),"")</f>
        <v>Ivar Viljaste</v>
      </c>
      <c r="AG8" s="709">
        <f>IFERROR(INDEX(V!R$7:R$62,MATCH(AH8,V!L$7:L$62,0)),"")</f>
        <v>148</v>
      </c>
      <c r="AH8" s="710" t="str">
        <f t="shared" ref="AH8:AH22" si="2">IFERROR(MID(B8,FIND(", ",B8)+2,256),"")</f>
        <v>Matti Vinni</v>
      </c>
      <c r="AI8" s="709" t="str">
        <f>IFERROR(INDEX(V!R$7:R$62,MATCH(AJ8,V!L$7:L$62,0)),"")</f>
        <v/>
      </c>
      <c r="AJ8" s="710" t="str">
        <f t="shared" ref="AJ8:AJ22" si="3">IFERROR(MID(B8,FIND("^",SUBSTITUTE(B8,", ","^",1))+2,FIND("^",SUBSTITUTE(B8,", ","^",2))-FIND("^",SUBSTITUTE(B8,", ","^",1))-2),"")</f>
        <v/>
      </c>
      <c r="AK8" s="709" t="str">
        <f>IFERROR(INDEX(V!R$7:R$62,MATCH(AL8,V!L$7:L$62,0)),"")</f>
        <v/>
      </c>
      <c r="AL8" s="710" t="str">
        <f t="shared" ref="AL8:AL22" si="4">IFERROR(MID(B8,FIND(", ",B8,FIND(", ",B8,FIND(", ",B8))+1)+2,700),"")</f>
        <v/>
      </c>
      <c r="AM8" s="652"/>
    </row>
    <row r="9" spans="1:39" x14ac:dyDescent="0.2">
      <c r="A9" s="685">
        <v>2</v>
      </c>
      <c r="B9" s="686" t="s">
        <v>391</v>
      </c>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22" si="5">IF(C9&gt;E9,J$3,IF(C9&lt;E9,J$5,IF(ISNUMBER(C9),J$4,0)))+IF(G9&gt;I9,J$3,IF(G9&lt;I9,J$5,IF(ISNUMBER(G9),J$4,0)))+IF(K9&gt;M9,J$3,IF(K9&lt;M9,J$5,IF(ISNUMBER(K9),J$4,0)))+IF(O9&gt;Q9,J$3,IF(O9&lt;Q9,J$5,IF(ISNUMBER(O9),J$4,0)))+IF(S9&gt;U9,J$3,IF(S9&lt;U9,J$5,IF(ISNUMBER(S9),J$4,0)))</f>
        <v>0</v>
      </c>
      <c r="X9" s="692"/>
      <c r="Y9" s="687">
        <f t="shared" ref="Y9:Y22" si="6">C9+G9+K9+O9+S9</f>
        <v>0</v>
      </c>
      <c r="Z9" s="688" t="s">
        <v>377</v>
      </c>
      <c r="AA9" s="693">
        <f t="shared" ref="AA9:AA22" si="7">E9+I9+M9+Q9+U9</f>
        <v>0</v>
      </c>
      <c r="AB9" s="694">
        <f t="shared" ref="AB9:AB22" si="8">Y9-AA9</f>
        <v>0</v>
      </c>
      <c r="AC9" s="695"/>
      <c r="AD9" s="708">
        <f t="shared" ref="AD9:AD22" si="9">SUM(AE9:AL9)</f>
        <v>334</v>
      </c>
      <c r="AE9" s="709">
        <f>IFERROR(INDEX(V!R$7:R$62,MATCH(AF9,V!L$7:L$62,0)),"")</f>
        <v>165</v>
      </c>
      <c r="AF9" s="710" t="str">
        <f t="shared" si="1"/>
        <v>Oksana Rõndenkova</v>
      </c>
      <c r="AG9" s="709">
        <f>IFERROR(INDEX(V!R$7:R$62,MATCH(AH9,V!L$7:L$62,0)),"")</f>
        <v>169</v>
      </c>
      <c r="AH9" s="710" t="str">
        <f t="shared" si="2"/>
        <v>Oleg Rõndenkov</v>
      </c>
      <c r="AI9" s="709" t="str">
        <f>IFERROR(INDEX(V!R$7:R$62,MATCH(AJ9,V!L$7:L$62,0)),"")</f>
        <v/>
      </c>
      <c r="AJ9" s="710" t="str">
        <f t="shared" si="3"/>
        <v/>
      </c>
      <c r="AK9" s="709" t="str">
        <f>IFERROR(INDEX(V!R$7:R$62,MATCH(AL9,V!L$7:L$62,0)),"")</f>
        <v/>
      </c>
      <c r="AL9" s="710" t="str">
        <f t="shared" si="4"/>
        <v/>
      </c>
      <c r="AM9" s="652"/>
    </row>
    <row r="10" spans="1:39" x14ac:dyDescent="0.2">
      <c r="A10" s="685">
        <v>3</v>
      </c>
      <c r="B10" s="686" t="s">
        <v>387</v>
      </c>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5"/>
        <v>0</v>
      </c>
      <c r="X10" s="692"/>
      <c r="Y10" s="687">
        <f t="shared" si="6"/>
        <v>0</v>
      </c>
      <c r="Z10" s="688" t="s">
        <v>377</v>
      </c>
      <c r="AA10" s="693">
        <f t="shared" si="7"/>
        <v>0</v>
      </c>
      <c r="AB10" s="694">
        <f t="shared" si="8"/>
        <v>0</v>
      </c>
      <c r="AC10" s="695"/>
      <c r="AD10" s="708">
        <f t="shared" si="9"/>
        <v>220</v>
      </c>
      <c r="AE10" s="709">
        <f>IFERROR(INDEX(V!R$7:R$62,MATCH(AF10,V!L$7:L$62,0)),"")</f>
        <v>102</v>
      </c>
      <c r="AF10" s="710" t="str">
        <f t="shared" si="1"/>
        <v>Enn Tokman</v>
      </c>
      <c r="AG10" s="709">
        <f>IFERROR(INDEX(V!R$7:R$62,MATCH(AH10,V!L$7:L$62,0)),"")</f>
        <v>118</v>
      </c>
      <c r="AH10" s="710" t="str">
        <f t="shared" si="2"/>
        <v>Tarmo Bombe</v>
      </c>
      <c r="AI10" s="709" t="str">
        <f>IFERROR(INDEX(V!R$7:R$62,MATCH(AJ10,V!L$7:L$62,0)),"")</f>
        <v/>
      </c>
      <c r="AJ10" s="710" t="str">
        <f t="shared" si="3"/>
        <v/>
      </c>
      <c r="AK10" s="709" t="str">
        <f>IFERROR(INDEX(V!R$7:R$62,MATCH(AL10,V!L$7:L$62,0)),"")</f>
        <v/>
      </c>
      <c r="AL10" s="710" t="str">
        <f t="shared" si="4"/>
        <v/>
      </c>
      <c r="AM10" s="652"/>
    </row>
    <row r="11" spans="1:39" x14ac:dyDescent="0.2">
      <c r="A11" s="685">
        <v>4</v>
      </c>
      <c r="B11" s="686" t="s">
        <v>411</v>
      </c>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5"/>
        <v>0</v>
      </c>
      <c r="X11" s="692"/>
      <c r="Y11" s="687">
        <f t="shared" si="6"/>
        <v>0</v>
      </c>
      <c r="Z11" s="688" t="s">
        <v>377</v>
      </c>
      <c r="AA11" s="693">
        <f t="shared" si="7"/>
        <v>0</v>
      </c>
      <c r="AB11" s="694">
        <f t="shared" si="8"/>
        <v>0</v>
      </c>
      <c r="AC11" s="695"/>
      <c r="AD11" s="708">
        <f t="shared" si="9"/>
        <v>214</v>
      </c>
      <c r="AE11" s="709">
        <f>IFERROR(INDEX(V!R$7:R$62,MATCH(AF11,V!L$7:L$62,0)),"")</f>
        <v>113</v>
      </c>
      <c r="AF11" s="710" t="str">
        <f t="shared" si="1"/>
        <v>Kaspar Mänd</v>
      </c>
      <c r="AG11" s="709">
        <f>IFERROR(INDEX(V!R$7:R$62,MATCH(AH11,V!L$7:L$62,0)),"")</f>
        <v>101</v>
      </c>
      <c r="AH11" s="710" t="str">
        <f t="shared" si="2"/>
        <v>Mait Metsla</v>
      </c>
      <c r="AI11" s="709" t="str">
        <f>IFERROR(INDEX(V!R$7:R$62,MATCH(AJ11,V!L$7:L$62,0)),"")</f>
        <v/>
      </c>
      <c r="AJ11" s="710" t="str">
        <f t="shared" si="3"/>
        <v/>
      </c>
      <c r="AK11" s="709" t="str">
        <f>IFERROR(INDEX(V!R$7:R$62,MATCH(AL11,V!L$7:L$62,0)),"")</f>
        <v/>
      </c>
      <c r="AL11" s="710" t="str">
        <f t="shared" si="4"/>
        <v/>
      </c>
      <c r="AM11" s="652"/>
    </row>
    <row r="12" spans="1:39" x14ac:dyDescent="0.2">
      <c r="A12" s="685">
        <v>5</v>
      </c>
      <c r="B12" s="686" t="s">
        <v>412</v>
      </c>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5"/>
        <v>0</v>
      </c>
      <c r="X12" s="692"/>
      <c r="Y12" s="687">
        <f t="shared" si="6"/>
        <v>0</v>
      </c>
      <c r="Z12" s="688" t="s">
        <v>377</v>
      </c>
      <c r="AA12" s="693">
        <f t="shared" si="7"/>
        <v>0</v>
      </c>
      <c r="AB12" s="694">
        <f t="shared" si="8"/>
        <v>0</v>
      </c>
      <c r="AC12" s="695"/>
      <c r="AD12" s="708">
        <f t="shared" si="9"/>
        <v>103</v>
      </c>
      <c r="AE12" s="709">
        <f>IFERROR(INDEX(V!R$7:R$62,MATCH(AF12,V!L$7:L$62,0)),"")</f>
        <v>26</v>
      </c>
      <c r="AF12" s="710" t="str">
        <f t="shared" si="1"/>
        <v>Heili Vasser</v>
      </c>
      <c r="AG12" s="709">
        <f>IFERROR(INDEX(V!R$7:R$62,MATCH(AH12,V!L$7:L$62,0)),"")</f>
        <v>77</v>
      </c>
      <c r="AH12" s="710" t="str">
        <f t="shared" si="2"/>
        <v>Vello Vasser</v>
      </c>
      <c r="AI12" s="709" t="str">
        <f>IFERROR(INDEX(V!R$7:R$62,MATCH(AJ12,V!L$7:L$62,0)),"")</f>
        <v/>
      </c>
      <c r="AJ12" s="710" t="str">
        <f t="shared" si="3"/>
        <v/>
      </c>
      <c r="AK12" s="709" t="str">
        <f>IFERROR(INDEX(V!R$7:R$62,MATCH(AL12,V!L$7:L$62,0)),"")</f>
        <v/>
      </c>
      <c r="AL12" s="710" t="str">
        <f t="shared" si="4"/>
        <v/>
      </c>
      <c r="AM12" s="652"/>
    </row>
    <row r="13" spans="1:39" x14ac:dyDescent="0.2">
      <c r="A13" s="685">
        <v>6</v>
      </c>
      <c r="B13" s="686" t="s">
        <v>383</v>
      </c>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5"/>
        <v>0</v>
      </c>
      <c r="X13" s="692"/>
      <c r="Y13" s="687">
        <f t="shared" si="6"/>
        <v>0</v>
      </c>
      <c r="Z13" s="688" t="s">
        <v>377</v>
      </c>
      <c r="AA13" s="693">
        <f t="shared" si="7"/>
        <v>0</v>
      </c>
      <c r="AB13" s="694">
        <f t="shared" si="8"/>
        <v>0</v>
      </c>
      <c r="AC13" s="695"/>
      <c r="AD13" s="708">
        <f t="shared" si="9"/>
        <v>284</v>
      </c>
      <c r="AE13" s="709">
        <f>IFERROR(INDEX(V!R$7:R$62,MATCH(AF13,V!L$7:L$62,0)),"")</f>
        <v>142</v>
      </c>
      <c r="AF13" s="710" t="str">
        <f t="shared" si="1"/>
        <v>Elmo Lageda</v>
      </c>
      <c r="AG13" s="709">
        <f>IFERROR(INDEX(V!R$7:R$62,MATCH(AH13,V!L$7:L$62,0)),"")</f>
        <v>142</v>
      </c>
      <c r="AH13" s="710" t="str">
        <f t="shared" si="2"/>
        <v>Tõnu Piik</v>
      </c>
      <c r="AI13" s="709" t="str">
        <f>IFERROR(INDEX(V!R$7:R$62,MATCH(AJ13,V!L$7:L$62,0)),"")</f>
        <v/>
      </c>
      <c r="AJ13" s="710" t="str">
        <f t="shared" si="3"/>
        <v/>
      </c>
      <c r="AK13" s="709" t="str">
        <f>IFERROR(INDEX(V!R$7:R$62,MATCH(AL13,V!L$7:L$62,0)),"")</f>
        <v/>
      </c>
      <c r="AL13" s="710" t="str">
        <f t="shared" si="4"/>
        <v/>
      </c>
      <c r="AM13" s="652"/>
    </row>
    <row r="14" spans="1:39" x14ac:dyDescent="0.2">
      <c r="A14" s="685">
        <v>7</v>
      </c>
      <c r="B14" s="696" t="s">
        <v>395</v>
      </c>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5"/>
        <v>0</v>
      </c>
      <c r="X14" s="692"/>
      <c r="Y14" s="687">
        <f t="shared" si="6"/>
        <v>0</v>
      </c>
      <c r="Z14" s="688" t="s">
        <v>377</v>
      </c>
      <c r="AA14" s="693">
        <f t="shared" si="7"/>
        <v>0</v>
      </c>
      <c r="AB14" s="694">
        <f t="shared" si="8"/>
        <v>0</v>
      </c>
      <c r="AC14" s="695"/>
      <c r="AD14" s="708">
        <f t="shared" si="9"/>
        <v>137</v>
      </c>
      <c r="AE14" s="709">
        <f>IFERROR(INDEX(V!R$7:R$62,MATCH(AF14,V!L$7:L$62,0)),"")</f>
        <v>82</v>
      </c>
      <c r="AF14" s="710" t="str">
        <f t="shared" si="1"/>
        <v>Andres Veski</v>
      </c>
      <c r="AG14" s="709">
        <f>IFERROR(INDEX(V!R$7:R$62,MATCH(AH14,V!L$7:L$62,0)),"")</f>
        <v>55</v>
      </c>
      <c r="AH14" s="710" t="str">
        <f t="shared" si="2"/>
        <v>Svetlana Veski</v>
      </c>
      <c r="AI14" s="709" t="str">
        <f>IFERROR(INDEX(V!R$7:R$62,MATCH(AJ14,V!L$7:L$62,0)),"")</f>
        <v/>
      </c>
      <c r="AJ14" s="710" t="str">
        <f t="shared" si="3"/>
        <v/>
      </c>
      <c r="AK14" s="709" t="str">
        <f>IFERROR(INDEX(V!R$7:R$62,MATCH(AL14,V!L$7:L$62,0)),"")</f>
        <v/>
      </c>
      <c r="AL14" s="710" t="str">
        <f t="shared" si="4"/>
        <v/>
      </c>
      <c r="AM14" s="652"/>
    </row>
    <row r="15" spans="1:39" x14ac:dyDescent="0.2">
      <c r="A15" s="685">
        <v>8</v>
      </c>
      <c r="B15" s="696" t="s">
        <v>404</v>
      </c>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5"/>
        <v>0</v>
      </c>
      <c r="X15" s="692"/>
      <c r="Y15" s="687">
        <f t="shared" si="6"/>
        <v>0</v>
      </c>
      <c r="Z15" s="688" t="s">
        <v>377</v>
      </c>
      <c r="AA15" s="693">
        <f t="shared" si="7"/>
        <v>0</v>
      </c>
      <c r="AB15" s="694">
        <f t="shared" si="8"/>
        <v>0</v>
      </c>
      <c r="AC15" s="695"/>
      <c r="AD15" s="708">
        <f t="shared" si="9"/>
        <v>235</v>
      </c>
      <c r="AE15" s="709">
        <f>IFERROR(INDEX(V!R$7:R$62,MATCH(AF15,V!L$7:L$62,0)),"")</f>
        <v>125</v>
      </c>
      <c r="AF15" s="710" t="str">
        <f t="shared" si="1"/>
        <v>Karla Purgats</v>
      </c>
      <c r="AG15" s="709">
        <f>IFERROR(INDEX(V!R$7:R$62,MATCH(AH15,V!L$7:L$62,0)),"")</f>
        <v>110</v>
      </c>
      <c r="AH15" s="710" t="str">
        <f t="shared" si="2"/>
        <v>Lemmit Toomra</v>
      </c>
      <c r="AI15" s="709" t="str">
        <f>IFERROR(INDEX(V!R$7:R$62,MATCH(AJ15,V!L$7:L$62,0)),"")</f>
        <v/>
      </c>
      <c r="AJ15" s="710" t="str">
        <f t="shared" si="3"/>
        <v/>
      </c>
      <c r="AK15" s="709" t="str">
        <f>IFERROR(INDEX(V!R$7:R$62,MATCH(AL15,V!L$7:L$62,0)),"")</f>
        <v/>
      </c>
      <c r="AL15" s="710" t="str">
        <f t="shared" si="4"/>
        <v/>
      </c>
      <c r="AM15" s="652"/>
    </row>
    <row r="16" spans="1:39" x14ac:dyDescent="0.2">
      <c r="A16" s="685">
        <v>9</v>
      </c>
      <c r="B16" s="686" t="s">
        <v>413</v>
      </c>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5"/>
        <v>0</v>
      </c>
      <c r="X16" s="692"/>
      <c r="Y16" s="687">
        <f t="shared" si="6"/>
        <v>0</v>
      </c>
      <c r="Z16" s="688" t="s">
        <v>377</v>
      </c>
      <c r="AA16" s="693">
        <f t="shared" si="7"/>
        <v>0</v>
      </c>
      <c r="AB16" s="694">
        <f t="shared" si="8"/>
        <v>0</v>
      </c>
      <c r="AC16" s="695"/>
      <c r="AD16" s="708">
        <f t="shared" si="9"/>
        <v>102</v>
      </c>
      <c r="AE16" s="709">
        <f>IFERROR(INDEX(V!R$7:R$62,MATCH(AF16,V!L$7:L$62,0)),"")</f>
        <v>90</v>
      </c>
      <c r="AF16" s="710" t="str">
        <f t="shared" si="1"/>
        <v>Johannes Neiland</v>
      </c>
      <c r="AG16" s="709">
        <f>IFERROR(INDEX(V!R$7:R$62,MATCH(AH16,V!L$7:L$62,0)),"")</f>
        <v>12</v>
      </c>
      <c r="AH16" s="710" t="str">
        <f t="shared" si="2"/>
        <v>Melika Lehtla</v>
      </c>
      <c r="AI16" s="709" t="str">
        <f>IFERROR(INDEX(V!R$7:R$62,MATCH(AJ16,V!L$7:L$62,0)),"")</f>
        <v/>
      </c>
      <c r="AJ16" s="710" t="str">
        <f t="shared" si="3"/>
        <v/>
      </c>
      <c r="AK16" s="709" t="str">
        <f>IFERROR(INDEX(V!R$7:R$62,MATCH(AL16,V!L$7:L$62,0)),"")</f>
        <v/>
      </c>
      <c r="AL16" s="710" t="str">
        <f t="shared" si="4"/>
        <v/>
      </c>
      <c r="AM16" s="652"/>
    </row>
    <row r="17" spans="1:39" x14ac:dyDescent="0.2">
      <c r="A17" s="685">
        <v>10</v>
      </c>
      <c r="B17" s="686" t="s">
        <v>414</v>
      </c>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5"/>
        <v>0</v>
      </c>
      <c r="X17" s="692"/>
      <c r="Y17" s="687">
        <f t="shared" si="6"/>
        <v>0</v>
      </c>
      <c r="Z17" s="688" t="s">
        <v>377</v>
      </c>
      <c r="AA17" s="693">
        <f t="shared" si="7"/>
        <v>0</v>
      </c>
      <c r="AB17" s="694">
        <f t="shared" si="8"/>
        <v>0</v>
      </c>
      <c r="AC17" s="695"/>
      <c r="AD17" s="708">
        <f t="shared" si="9"/>
        <v>22</v>
      </c>
      <c r="AE17" s="709">
        <f>IFERROR(INDEX(V!R$7:R$62,MATCH(AF17,V!L$7:L$62,0)),"")</f>
        <v>11</v>
      </c>
      <c r="AF17" s="710" t="str">
        <f t="shared" si="1"/>
        <v>Daniil Alekankin</v>
      </c>
      <c r="AG17" s="709">
        <f>IFERROR(INDEX(V!R$7:R$62,MATCH(AH17,V!L$7:L$62,0)),"")</f>
        <v>11</v>
      </c>
      <c r="AH17" s="710" t="str">
        <f t="shared" si="2"/>
        <v>Emil Murzajev</v>
      </c>
      <c r="AI17" s="709" t="str">
        <f>IFERROR(INDEX(V!R$7:R$62,MATCH(AJ17,V!L$7:L$62,0)),"")</f>
        <v/>
      </c>
      <c r="AJ17" s="710" t="str">
        <f t="shared" si="3"/>
        <v/>
      </c>
      <c r="AK17" s="709" t="str">
        <f>IFERROR(INDEX(V!R$7:R$62,MATCH(AL17,V!L$7:L$62,0)),"")</f>
        <v/>
      </c>
      <c r="AL17" s="710" t="str">
        <f t="shared" si="4"/>
        <v/>
      </c>
      <c r="AM17" s="652"/>
    </row>
    <row r="18" spans="1:39" x14ac:dyDescent="0.2">
      <c r="A18" s="685">
        <v>11</v>
      </c>
      <c r="B18" s="696" t="s">
        <v>415</v>
      </c>
      <c r="C18" s="687"/>
      <c r="D18" s="688" t="s">
        <v>377</v>
      </c>
      <c r="E18" s="689"/>
      <c r="F18" s="690"/>
      <c r="G18" s="687"/>
      <c r="H18" s="688" t="s">
        <v>377</v>
      </c>
      <c r="I18" s="689"/>
      <c r="J18" s="690"/>
      <c r="K18" s="687"/>
      <c r="L18" s="688" t="s">
        <v>377</v>
      </c>
      <c r="M18" s="689"/>
      <c r="N18" s="690"/>
      <c r="O18" s="687"/>
      <c r="P18" s="688" t="s">
        <v>377</v>
      </c>
      <c r="Q18" s="689"/>
      <c r="R18" s="690"/>
      <c r="S18" s="687"/>
      <c r="T18" s="688" t="s">
        <v>377</v>
      </c>
      <c r="U18" s="689"/>
      <c r="V18" s="690"/>
      <c r="W18" s="691">
        <f t="shared" si="5"/>
        <v>0</v>
      </c>
      <c r="X18" s="692"/>
      <c r="Y18" s="687">
        <f t="shared" si="6"/>
        <v>0</v>
      </c>
      <c r="Z18" s="688" t="s">
        <v>377</v>
      </c>
      <c r="AA18" s="693">
        <f t="shared" si="7"/>
        <v>0</v>
      </c>
      <c r="AB18" s="694">
        <f t="shared" si="8"/>
        <v>0</v>
      </c>
      <c r="AC18" s="695"/>
      <c r="AD18" s="708">
        <f t="shared" si="9"/>
        <v>138</v>
      </c>
      <c r="AE18" s="709">
        <f>IFERROR(INDEX(V!R$7:R$62,MATCH(AF18,V!L$7:L$62,0)),"")</f>
        <v>77</v>
      </c>
      <c r="AF18" s="710" t="str">
        <f t="shared" si="1"/>
        <v>Liidia Põllu</v>
      </c>
      <c r="AG18" s="709">
        <f>IFERROR(INDEX(V!R$7:R$62,MATCH(AH18,V!L$7:L$62,0)),"")</f>
        <v>61</v>
      </c>
      <c r="AH18" s="710" t="str">
        <f t="shared" si="2"/>
        <v>Vladimir Ogneštšikov</v>
      </c>
      <c r="AI18" s="709" t="str">
        <f>IFERROR(INDEX(V!R$7:R$62,MATCH(AJ18,V!L$7:L$62,0)),"")</f>
        <v/>
      </c>
      <c r="AJ18" s="710" t="str">
        <f t="shared" si="3"/>
        <v/>
      </c>
      <c r="AK18" s="709" t="str">
        <f>IFERROR(INDEX(V!R$7:R$62,MATCH(AL18,V!L$7:L$62,0)),"")</f>
        <v/>
      </c>
      <c r="AL18" s="710" t="str">
        <f t="shared" si="4"/>
        <v/>
      </c>
      <c r="AM18" s="652"/>
    </row>
    <row r="19" spans="1:39" x14ac:dyDescent="0.2">
      <c r="A19" s="685">
        <v>12</v>
      </c>
      <c r="B19" s="696" t="s">
        <v>393</v>
      </c>
      <c r="C19" s="687"/>
      <c r="D19" s="688" t="s">
        <v>377</v>
      </c>
      <c r="E19" s="689"/>
      <c r="F19" s="690"/>
      <c r="G19" s="687"/>
      <c r="H19" s="688" t="s">
        <v>377</v>
      </c>
      <c r="I19" s="689"/>
      <c r="J19" s="690"/>
      <c r="K19" s="687"/>
      <c r="L19" s="688" t="s">
        <v>377</v>
      </c>
      <c r="M19" s="689"/>
      <c r="N19" s="690"/>
      <c r="O19" s="687"/>
      <c r="P19" s="688" t="s">
        <v>377</v>
      </c>
      <c r="Q19" s="689"/>
      <c r="R19" s="690"/>
      <c r="S19" s="687"/>
      <c r="T19" s="688" t="s">
        <v>377</v>
      </c>
      <c r="U19" s="689"/>
      <c r="V19" s="690"/>
      <c r="W19" s="691">
        <f t="shared" si="5"/>
        <v>0</v>
      </c>
      <c r="X19" s="692"/>
      <c r="Y19" s="687">
        <f t="shared" si="6"/>
        <v>0</v>
      </c>
      <c r="Z19" s="688" t="s">
        <v>377</v>
      </c>
      <c r="AA19" s="693">
        <f t="shared" si="7"/>
        <v>0</v>
      </c>
      <c r="AB19" s="694">
        <f t="shared" si="8"/>
        <v>0</v>
      </c>
      <c r="AC19" s="695"/>
      <c r="AD19" s="708">
        <f t="shared" si="9"/>
        <v>216</v>
      </c>
      <c r="AE19" s="709">
        <f>IFERROR(INDEX(V!R$7:R$62,MATCH(AF19,V!L$7:L$62,0)),"")</f>
        <v>113</v>
      </c>
      <c r="AF19" s="710" t="str">
        <f t="shared" si="1"/>
        <v>Andrei Grintšak</v>
      </c>
      <c r="AG19" s="709">
        <f>IFERROR(INDEX(V!R$7:R$62,MATCH(AH19,V!L$7:L$62,0)),"")</f>
        <v>103</v>
      </c>
      <c r="AH19" s="710" t="str">
        <f t="shared" si="2"/>
        <v>Boriss Klubov</v>
      </c>
      <c r="AI19" s="709" t="str">
        <f>IFERROR(INDEX(V!R$7:R$62,MATCH(AJ19,V!L$7:L$62,0)),"")</f>
        <v/>
      </c>
      <c r="AJ19" s="710" t="str">
        <f t="shared" si="3"/>
        <v/>
      </c>
      <c r="AK19" s="709" t="str">
        <f>IFERROR(INDEX(V!R$7:R$62,MATCH(AL19,V!L$7:L$62,0)),"")</f>
        <v/>
      </c>
      <c r="AL19" s="710" t="str">
        <f t="shared" si="4"/>
        <v/>
      </c>
      <c r="AM19" s="652"/>
    </row>
    <row r="20" spans="1:39" x14ac:dyDescent="0.2">
      <c r="A20" s="685">
        <v>13</v>
      </c>
      <c r="B20" s="686" t="s">
        <v>385</v>
      </c>
      <c r="C20" s="687"/>
      <c r="D20" s="688" t="s">
        <v>377</v>
      </c>
      <c r="E20" s="689"/>
      <c r="F20" s="690"/>
      <c r="G20" s="687"/>
      <c r="H20" s="688" t="s">
        <v>377</v>
      </c>
      <c r="I20" s="689"/>
      <c r="J20" s="690"/>
      <c r="K20" s="687"/>
      <c r="L20" s="688" t="s">
        <v>377</v>
      </c>
      <c r="M20" s="689"/>
      <c r="N20" s="690"/>
      <c r="O20" s="687"/>
      <c r="P20" s="688" t="s">
        <v>377</v>
      </c>
      <c r="Q20" s="689"/>
      <c r="R20" s="690"/>
      <c r="S20" s="687"/>
      <c r="T20" s="688" t="s">
        <v>377</v>
      </c>
      <c r="U20" s="689"/>
      <c r="V20" s="690"/>
      <c r="W20" s="691">
        <f t="shared" si="5"/>
        <v>0</v>
      </c>
      <c r="X20" s="692"/>
      <c r="Y20" s="687">
        <f t="shared" si="6"/>
        <v>0</v>
      </c>
      <c r="Z20" s="688" t="s">
        <v>377</v>
      </c>
      <c r="AA20" s="693">
        <f t="shared" si="7"/>
        <v>0</v>
      </c>
      <c r="AB20" s="694">
        <f t="shared" si="8"/>
        <v>0</v>
      </c>
      <c r="AC20" s="695"/>
      <c r="AD20" s="708">
        <f t="shared" si="9"/>
        <v>108</v>
      </c>
      <c r="AE20" s="709">
        <f>IFERROR(INDEX(V!R$7:R$62,MATCH(AF20,V!L$7:L$62,0)),"")</f>
        <v>54</v>
      </c>
      <c r="AF20" s="710" t="str">
        <f t="shared" si="1"/>
        <v>Meelis Luud</v>
      </c>
      <c r="AG20" s="709">
        <f>IFERROR(INDEX(V!R$7:R$62,MATCH(AH20,V!L$7:L$62,0)),"")</f>
        <v>54</v>
      </c>
      <c r="AH20" s="710" t="str">
        <f t="shared" si="2"/>
        <v>Sander Rose</v>
      </c>
      <c r="AI20" s="709" t="str">
        <f>IFERROR(INDEX(V!R$7:R$62,MATCH(AJ20,V!L$7:L$62,0)),"")</f>
        <v/>
      </c>
      <c r="AJ20" s="710" t="str">
        <f t="shared" si="3"/>
        <v/>
      </c>
      <c r="AK20" s="709" t="str">
        <f>IFERROR(INDEX(V!R$7:R$62,MATCH(AL20,V!L$7:L$62,0)),"")</f>
        <v/>
      </c>
      <c r="AL20" s="710" t="str">
        <f t="shared" si="4"/>
        <v/>
      </c>
      <c r="AM20" s="652"/>
    </row>
    <row r="21" spans="1:39" x14ac:dyDescent="0.2">
      <c r="A21" s="685">
        <v>14</v>
      </c>
      <c r="B21" s="696" t="s">
        <v>399</v>
      </c>
      <c r="C21" s="687"/>
      <c r="D21" s="688" t="s">
        <v>377</v>
      </c>
      <c r="E21" s="689"/>
      <c r="F21" s="690"/>
      <c r="G21" s="687"/>
      <c r="H21" s="688" t="s">
        <v>377</v>
      </c>
      <c r="I21" s="689"/>
      <c r="J21" s="690"/>
      <c r="K21" s="687"/>
      <c r="L21" s="688" t="s">
        <v>377</v>
      </c>
      <c r="M21" s="689"/>
      <c r="N21" s="690"/>
      <c r="O21" s="687"/>
      <c r="P21" s="688" t="s">
        <v>377</v>
      </c>
      <c r="Q21" s="689"/>
      <c r="R21" s="690"/>
      <c r="S21" s="687"/>
      <c r="T21" s="688" t="s">
        <v>377</v>
      </c>
      <c r="U21" s="689"/>
      <c r="V21" s="690"/>
      <c r="W21" s="691">
        <f t="shared" si="5"/>
        <v>0</v>
      </c>
      <c r="X21" s="692"/>
      <c r="Y21" s="687">
        <f t="shared" si="6"/>
        <v>0</v>
      </c>
      <c r="Z21" s="688" t="s">
        <v>377</v>
      </c>
      <c r="AA21" s="693">
        <f t="shared" si="7"/>
        <v>0</v>
      </c>
      <c r="AB21" s="694">
        <f t="shared" si="8"/>
        <v>0</v>
      </c>
      <c r="AC21" s="695"/>
      <c r="AD21" s="708">
        <f t="shared" si="9"/>
        <v>181</v>
      </c>
      <c r="AE21" s="709">
        <f>IFERROR(INDEX(V!R$7:R$62,MATCH(AF21,V!L$7:L$62,0)),"")</f>
        <v>106</v>
      </c>
      <c r="AF21" s="710" t="str">
        <f t="shared" si="1"/>
        <v>Henri Mitt</v>
      </c>
      <c r="AG21" s="709">
        <f>IFERROR(INDEX(V!R$7:R$62,MATCH(AH21,V!L$7:L$62,0)),"")</f>
        <v>75</v>
      </c>
      <c r="AH21" s="710" t="str">
        <f t="shared" si="2"/>
        <v>Urmas Randlaine</v>
      </c>
      <c r="AI21" s="709" t="str">
        <f>IFERROR(INDEX(V!R$7:R$62,MATCH(AJ21,V!L$7:L$62,0)),"")</f>
        <v/>
      </c>
      <c r="AJ21" s="710" t="str">
        <f t="shared" si="3"/>
        <v/>
      </c>
      <c r="AK21" s="709" t="str">
        <f>IFERROR(INDEX(V!R$7:R$62,MATCH(AL21,V!L$7:L$62,0)),"")</f>
        <v/>
      </c>
      <c r="AL21" s="710" t="str">
        <f t="shared" si="4"/>
        <v/>
      </c>
      <c r="AM21" s="652"/>
    </row>
    <row r="22" spans="1:39" x14ac:dyDescent="0.2">
      <c r="A22" s="685">
        <v>15</v>
      </c>
      <c r="B22" s="696" t="s">
        <v>416</v>
      </c>
      <c r="C22" s="687"/>
      <c r="D22" s="688" t="s">
        <v>377</v>
      </c>
      <c r="E22" s="689"/>
      <c r="F22" s="690"/>
      <c r="G22" s="687"/>
      <c r="H22" s="688" t="s">
        <v>377</v>
      </c>
      <c r="I22" s="689"/>
      <c r="J22" s="690"/>
      <c r="K22" s="687"/>
      <c r="L22" s="688" t="s">
        <v>377</v>
      </c>
      <c r="M22" s="689"/>
      <c r="N22" s="690"/>
      <c r="O22" s="687"/>
      <c r="P22" s="688" t="s">
        <v>377</v>
      </c>
      <c r="Q22" s="689"/>
      <c r="R22" s="690"/>
      <c r="S22" s="687"/>
      <c r="T22" s="688" t="s">
        <v>377</v>
      </c>
      <c r="U22" s="689"/>
      <c r="V22" s="690"/>
      <c r="W22" s="691">
        <f t="shared" si="5"/>
        <v>0</v>
      </c>
      <c r="X22" s="692"/>
      <c r="Y22" s="687">
        <f t="shared" si="6"/>
        <v>0</v>
      </c>
      <c r="Z22" s="688" t="s">
        <v>377</v>
      </c>
      <c r="AA22" s="693">
        <f t="shared" si="7"/>
        <v>0</v>
      </c>
      <c r="AB22" s="694">
        <f t="shared" si="8"/>
        <v>0</v>
      </c>
      <c r="AC22" s="695"/>
      <c r="AD22" s="708">
        <f t="shared" si="9"/>
        <v>91</v>
      </c>
      <c r="AE22" s="709">
        <f>IFERROR(INDEX(V!R$7:R$62,MATCH(AF22,V!L$7:L$62,0)),"")</f>
        <v>81</v>
      </c>
      <c r="AF22" s="710" t="str">
        <f t="shared" si="1"/>
        <v>Illar Tõnurist</v>
      </c>
      <c r="AG22" s="709">
        <f>IFERROR(INDEX(V!R$7:R$62,MATCH(AH22,V!L$7:L$62,0)),"")</f>
        <v>10</v>
      </c>
      <c r="AH22" s="710" t="str">
        <f t="shared" si="2"/>
        <v>Vilmar Ostumaa</v>
      </c>
      <c r="AI22" s="709" t="str">
        <f>IFERROR(INDEX(V!R$7:R$62,MATCH(AJ22,V!L$7:L$62,0)),"")</f>
        <v/>
      </c>
      <c r="AJ22" s="710" t="str">
        <f t="shared" si="3"/>
        <v/>
      </c>
      <c r="AK22" s="709" t="str">
        <f>IFERROR(INDEX(V!R$7:R$62,MATCH(AL22,V!L$7:L$62,0)),"")</f>
        <v/>
      </c>
      <c r="AL22" s="710" t="str">
        <f t="shared" si="4"/>
        <v/>
      </c>
      <c r="AM22" s="652"/>
    </row>
    <row r="23" spans="1:39" hidden="1" x14ac:dyDescent="0.2">
      <c r="A23" s="652"/>
      <c r="B23" s="652"/>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row>
    <row r="24" spans="1:39" hidden="1" x14ac:dyDescent="0.2">
      <c r="A24" s="652"/>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row>
    <row r="25" spans="1:39" hidden="1" x14ac:dyDescent="0.2">
      <c r="A25" s="652"/>
      <c r="B25" s="652"/>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row>
    <row r="26" spans="1:39" hidden="1" x14ac:dyDescent="0.2">
      <c r="A26" s="652"/>
      <c r="B26" s="652"/>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row>
    <row r="27" spans="1:39" hidden="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row>
    <row r="28" spans="1:39" hidden="1" x14ac:dyDescent="0.2">
      <c r="A28" s="652"/>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row>
    <row r="29" spans="1:39" hidden="1" x14ac:dyDescent="0.2">
      <c r="A29" s="652"/>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row>
    <row r="30" spans="1:39"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row>
    <row r="31" spans="1:39"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row>
    <row r="32" spans="1:39"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row>
    <row r="33" spans="1:39"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row>
    <row r="34" spans="1:39"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row>
    <row r="35" spans="1:39"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row>
    <row r="36" spans="1:39"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2"/>
    </row>
    <row r="133" spans="1:39"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c r="AH133" s="652"/>
      <c r="AI133" s="652"/>
      <c r="AJ133" s="652"/>
      <c r="AK133" s="652"/>
      <c r="AL133" s="652"/>
      <c r="AM133" s="652"/>
    </row>
    <row r="134" spans="1:39" hidden="1" x14ac:dyDescent="0.2">
      <c r="A134" s="652"/>
      <c r="B134" s="652"/>
      <c r="C134" s="652"/>
      <c r="D134" s="652"/>
      <c r="E134" s="652"/>
      <c r="F134" s="652"/>
      <c r="G134" s="652"/>
      <c r="H134" s="652"/>
      <c r="I134" s="652"/>
      <c r="J134" s="652"/>
      <c r="K134" s="652"/>
      <c r="L134" s="652"/>
      <c r="M134" s="652"/>
      <c r="N134" s="652"/>
      <c r="O134" s="652"/>
      <c r="P134" s="652"/>
      <c r="Q134" s="652"/>
      <c r="R134" s="652"/>
      <c r="S134" s="652"/>
      <c r="T134" s="652"/>
      <c r="U134" s="652"/>
      <c r="V134" s="652"/>
      <c r="W134" s="652"/>
      <c r="X134" s="652"/>
      <c r="Y134" s="652"/>
      <c r="Z134" s="652"/>
      <c r="AA134" s="652"/>
      <c r="AB134" s="652"/>
      <c r="AC134" s="652"/>
      <c r="AD134" s="652"/>
      <c r="AE134" s="652"/>
      <c r="AF134" s="652"/>
      <c r="AG134" s="652"/>
      <c r="AH134" s="652"/>
      <c r="AI134" s="652"/>
      <c r="AJ134" s="652"/>
      <c r="AK134" s="652"/>
      <c r="AL134" s="652"/>
      <c r="AM134" s="652"/>
    </row>
    <row r="135" spans="1:39" hidden="1" x14ac:dyDescent="0.2">
      <c r="A135" s="652"/>
      <c r="B135" s="652"/>
      <c r="C135" s="652"/>
      <c r="D135" s="652"/>
      <c r="E135" s="652"/>
      <c r="F135" s="652"/>
      <c r="G135" s="652"/>
      <c r="H135" s="652"/>
      <c r="I135" s="652"/>
      <c r="J135" s="652"/>
      <c r="K135" s="652"/>
      <c r="L135" s="652"/>
      <c r="M135" s="652"/>
      <c r="N135" s="652"/>
      <c r="O135" s="652"/>
      <c r="P135" s="652"/>
      <c r="Q135" s="652"/>
      <c r="R135" s="652"/>
      <c r="S135" s="652"/>
      <c r="T135" s="652"/>
      <c r="U135" s="652"/>
      <c r="V135" s="652"/>
      <c r="W135" s="652"/>
      <c r="X135" s="652"/>
      <c r="Y135" s="652"/>
      <c r="Z135" s="652"/>
      <c r="AA135" s="652"/>
      <c r="AB135" s="652"/>
      <c r="AC135" s="652"/>
      <c r="AD135" s="652"/>
      <c r="AE135" s="652"/>
      <c r="AF135" s="652"/>
      <c r="AG135" s="652"/>
      <c r="AH135" s="652"/>
      <c r="AI135" s="652"/>
      <c r="AJ135" s="652"/>
      <c r="AK135" s="652"/>
      <c r="AL135" s="652"/>
      <c r="AM135" s="652"/>
    </row>
    <row r="136" spans="1:39" hidden="1" x14ac:dyDescent="0.2">
      <c r="A136" s="652"/>
      <c r="B136" s="652"/>
      <c r="C136" s="652"/>
      <c r="D136" s="652"/>
      <c r="E136" s="652"/>
      <c r="F136" s="652"/>
      <c r="G136" s="652"/>
      <c r="H136" s="652"/>
      <c r="I136" s="652"/>
      <c r="J136" s="652"/>
      <c r="K136" s="652"/>
      <c r="L136" s="652"/>
      <c r="M136" s="652"/>
      <c r="N136" s="652"/>
      <c r="O136" s="652"/>
      <c r="P136" s="652"/>
      <c r="Q136" s="652"/>
      <c r="R136" s="652"/>
      <c r="S136" s="652"/>
      <c r="T136" s="652"/>
      <c r="U136" s="652"/>
      <c r="V136" s="652"/>
      <c r="W136" s="652"/>
      <c r="X136" s="652"/>
      <c r="Y136" s="652"/>
      <c r="Z136" s="652"/>
      <c r="AA136" s="652"/>
      <c r="AB136" s="652"/>
      <c r="AC136" s="652"/>
      <c r="AD136" s="652"/>
      <c r="AE136" s="652"/>
      <c r="AF136" s="652"/>
      <c r="AG136" s="652"/>
      <c r="AH136" s="652"/>
      <c r="AI136" s="652"/>
      <c r="AJ136" s="652"/>
      <c r="AK136" s="652"/>
      <c r="AL136" s="652"/>
      <c r="AM136" s="652"/>
    </row>
    <row r="137" spans="1:39" hidden="1" x14ac:dyDescent="0.2">
      <c r="A137" s="652"/>
      <c r="B137" s="652"/>
      <c r="C137" s="652"/>
      <c r="D137" s="652"/>
      <c r="E137" s="652"/>
      <c r="F137" s="652"/>
      <c r="G137" s="652"/>
      <c r="H137" s="652"/>
      <c r="I137" s="652"/>
      <c r="J137" s="652"/>
      <c r="K137" s="652"/>
      <c r="L137" s="652"/>
      <c r="M137" s="652"/>
      <c r="N137" s="652"/>
      <c r="O137" s="652"/>
      <c r="P137" s="652"/>
      <c r="Q137" s="652"/>
      <c r="R137" s="652"/>
      <c r="S137" s="652"/>
      <c r="T137" s="652"/>
      <c r="U137" s="652"/>
      <c r="V137" s="652"/>
      <c r="W137" s="652"/>
      <c r="X137" s="652"/>
      <c r="Y137" s="652"/>
      <c r="Z137" s="652"/>
      <c r="AA137" s="652"/>
      <c r="AB137" s="652"/>
      <c r="AC137" s="652"/>
      <c r="AD137" s="652"/>
      <c r="AE137" s="652"/>
      <c r="AF137" s="652"/>
      <c r="AG137" s="652"/>
      <c r="AH137" s="652"/>
      <c r="AI137" s="652"/>
      <c r="AJ137" s="652"/>
      <c r="AK137" s="652"/>
      <c r="AL137" s="652"/>
      <c r="AM137" s="652"/>
    </row>
    <row r="138" spans="1:39" hidden="1" x14ac:dyDescent="0.2">
      <c r="A138" s="652"/>
      <c r="B138" s="652"/>
      <c r="C138" s="652"/>
      <c r="D138" s="652"/>
      <c r="E138" s="652"/>
      <c r="F138" s="652"/>
      <c r="G138" s="652"/>
      <c r="H138" s="652"/>
      <c r="I138" s="652"/>
      <c r="J138" s="652"/>
      <c r="K138" s="652"/>
      <c r="L138" s="657"/>
      <c r="M138" s="657"/>
      <c r="N138" s="657"/>
      <c r="O138" s="652"/>
      <c r="P138" s="652"/>
      <c r="Q138" s="652"/>
      <c r="R138" s="652"/>
      <c r="S138" s="652"/>
      <c r="T138" s="657"/>
      <c r="U138" s="657"/>
      <c r="V138" s="657"/>
      <c r="W138" s="652"/>
      <c r="X138" s="652"/>
      <c r="Y138" s="652"/>
      <c r="Z138" s="652"/>
      <c r="AA138" s="652"/>
      <c r="AB138" s="652"/>
      <c r="AC138" s="652"/>
      <c r="AD138" s="652"/>
      <c r="AE138" s="652"/>
      <c r="AF138" s="652"/>
      <c r="AG138" s="652"/>
      <c r="AH138" s="652"/>
      <c r="AI138" s="652"/>
      <c r="AJ138" s="652"/>
      <c r="AK138" s="652"/>
      <c r="AL138" s="652"/>
      <c r="AM138" s="652"/>
    </row>
    <row r="139" spans="1:39" hidden="1" x14ac:dyDescent="0.2">
      <c r="A139" s="652"/>
      <c r="B139" s="652"/>
      <c r="C139" s="652"/>
      <c r="D139" s="652"/>
      <c r="E139" s="652"/>
      <c r="F139" s="652"/>
      <c r="G139" s="652"/>
      <c r="H139" s="652"/>
      <c r="I139" s="652"/>
      <c r="J139" s="652"/>
      <c r="K139" s="652"/>
      <c r="L139" s="657"/>
      <c r="M139" s="657"/>
      <c r="N139" s="657"/>
      <c r="O139" s="652"/>
      <c r="P139" s="652"/>
      <c r="Q139" s="652"/>
      <c r="R139" s="652"/>
      <c r="S139" s="652"/>
      <c r="T139" s="657"/>
      <c r="U139" s="657"/>
      <c r="V139" s="657"/>
      <c r="W139" s="652"/>
      <c r="X139" s="652"/>
      <c r="Y139" s="652"/>
      <c r="Z139" s="652"/>
      <c r="AA139" s="652"/>
      <c r="AB139" s="652"/>
      <c r="AC139" s="652"/>
      <c r="AD139" s="652"/>
      <c r="AE139" s="652"/>
      <c r="AF139" s="652"/>
      <c r="AG139" s="652"/>
      <c r="AH139" s="652"/>
      <c r="AI139" s="652"/>
      <c r="AJ139" s="652"/>
      <c r="AK139" s="652"/>
      <c r="AL139" s="652"/>
      <c r="AM139" s="652"/>
    </row>
    <row r="140" spans="1:39" hidden="1" x14ac:dyDescent="0.2">
      <c r="A140" s="652"/>
      <c r="B140" s="652"/>
      <c r="C140" s="652"/>
      <c r="D140" s="652"/>
      <c r="E140" s="652"/>
      <c r="F140" s="652"/>
      <c r="G140" s="652"/>
      <c r="H140" s="652"/>
      <c r="I140" s="652"/>
      <c r="J140" s="652"/>
      <c r="K140" s="652"/>
      <c r="L140" s="657"/>
      <c r="M140" s="657"/>
      <c r="N140" s="657"/>
      <c r="O140" s="652"/>
      <c r="P140" s="652"/>
      <c r="Q140" s="652"/>
      <c r="R140" s="652"/>
      <c r="S140" s="652"/>
      <c r="T140" s="657"/>
      <c r="U140" s="657"/>
      <c r="V140" s="657"/>
      <c r="W140" s="652"/>
      <c r="X140" s="652"/>
      <c r="Y140" s="652"/>
      <c r="Z140" s="652"/>
      <c r="AA140" s="652"/>
      <c r="AB140" s="652"/>
      <c r="AC140" s="652"/>
      <c r="AD140" s="652"/>
      <c r="AE140" s="652"/>
      <c r="AF140" s="652"/>
      <c r="AG140" s="652"/>
      <c r="AH140" s="652"/>
      <c r="AI140" s="652"/>
      <c r="AJ140" s="652"/>
      <c r="AK140" s="652"/>
      <c r="AL140" s="652"/>
      <c r="AM140" s="652"/>
    </row>
    <row r="141" spans="1:39" hidden="1" x14ac:dyDescent="0.2">
      <c r="A141" s="652"/>
      <c r="B141" s="652"/>
      <c r="C141" s="652"/>
      <c r="D141" s="652"/>
      <c r="E141" s="652"/>
      <c r="F141" s="652"/>
      <c r="G141" s="652"/>
      <c r="H141" s="652"/>
      <c r="I141" s="652"/>
      <c r="J141" s="652"/>
      <c r="K141" s="652"/>
      <c r="L141" s="657"/>
      <c r="M141" s="657"/>
      <c r="N141" s="657"/>
      <c r="O141" s="652"/>
      <c r="P141" s="652"/>
      <c r="Q141" s="652"/>
      <c r="R141" s="652"/>
      <c r="S141" s="652"/>
      <c r="T141" s="657"/>
      <c r="U141" s="657"/>
      <c r="V141" s="657"/>
      <c r="W141" s="652"/>
      <c r="X141" s="652"/>
      <c r="Y141" s="652"/>
      <c r="Z141" s="652"/>
      <c r="AA141" s="652"/>
      <c r="AB141" s="652"/>
      <c r="AC141" s="652"/>
      <c r="AD141" s="652"/>
      <c r="AE141" s="652"/>
      <c r="AF141" s="652"/>
      <c r="AG141" s="652"/>
      <c r="AH141" s="652"/>
      <c r="AI141" s="652"/>
      <c r="AJ141" s="652"/>
      <c r="AK141" s="652"/>
      <c r="AL141" s="652"/>
      <c r="AM141" s="652"/>
    </row>
    <row r="142" spans="1:39" hidden="1" x14ac:dyDescent="0.2">
      <c r="A142" s="652"/>
      <c r="B142" s="652"/>
      <c r="C142" s="652"/>
      <c r="D142" s="652"/>
      <c r="E142" s="652"/>
      <c r="F142" s="652"/>
      <c r="G142" s="652"/>
      <c r="H142" s="652"/>
      <c r="I142" s="652"/>
      <c r="J142" s="652"/>
      <c r="K142" s="652"/>
      <c r="L142" s="657"/>
      <c r="M142" s="657"/>
      <c r="N142" s="657"/>
      <c r="O142" s="652"/>
      <c r="P142" s="652"/>
      <c r="Q142" s="652"/>
      <c r="R142" s="652"/>
      <c r="S142" s="652"/>
      <c r="T142" s="657"/>
      <c r="U142" s="657"/>
      <c r="V142" s="657"/>
      <c r="W142" s="652"/>
      <c r="X142" s="652"/>
      <c r="Y142" s="652"/>
      <c r="Z142" s="652"/>
      <c r="AA142" s="652"/>
      <c r="AB142" s="652"/>
      <c r="AC142" s="652"/>
      <c r="AD142" s="652"/>
      <c r="AE142" s="652"/>
      <c r="AF142" s="652"/>
      <c r="AG142" s="652"/>
      <c r="AH142" s="652"/>
      <c r="AI142" s="652"/>
      <c r="AJ142" s="652"/>
      <c r="AK142" s="652"/>
      <c r="AL142" s="652"/>
      <c r="AM142" s="652"/>
    </row>
    <row r="143" spans="1:39" hidden="1" x14ac:dyDescent="0.2">
      <c r="A143" s="652"/>
      <c r="B143" s="652"/>
      <c r="C143" s="652"/>
      <c r="D143" s="652"/>
      <c r="E143" s="652"/>
      <c r="F143" s="652"/>
      <c r="G143" s="652"/>
      <c r="H143" s="652"/>
      <c r="I143" s="652"/>
      <c r="J143" s="652"/>
      <c r="K143" s="652"/>
      <c r="L143" s="657"/>
      <c r="M143" s="657"/>
      <c r="N143" s="657"/>
      <c r="O143" s="652"/>
      <c r="P143" s="652"/>
      <c r="Q143" s="652"/>
      <c r="R143" s="652"/>
      <c r="S143" s="652"/>
      <c r="T143" s="657"/>
      <c r="U143" s="657"/>
      <c r="V143" s="657"/>
      <c r="W143" s="652"/>
      <c r="X143" s="652"/>
      <c r="Y143" s="652"/>
      <c r="Z143" s="652"/>
      <c r="AA143" s="652"/>
      <c r="AB143" s="652"/>
      <c r="AC143" s="652"/>
      <c r="AD143" s="652"/>
      <c r="AE143" s="652"/>
      <c r="AF143" s="652"/>
      <c r="AG143" s="652"/>
      <c r="AH143" s="652"/>
      <c r="AI143" s="652"/>
      <c r="AJ143" s="652"/>
      <c r="AK143" s="652"/>
      <c r="AL143" s="652"/>
      <c r="AM143" s="652"/>
    </row>
    <row r="144" spans="1:39" hidden="1" x14ac:dyDescent="0.2">
      <c r="A144" s="652"/>
      <c r="B144" s="652"/>
      <c r="C144" s="652"/>
      <c r="D144" s="652"/>
      <c r="E144" s="652"/>
      <c r="F144" s="652"/>
      <c r="G144" s="652"/>
      <c r="H144" s="652"/>
      <c r="I144" s="652"/>
      <c r="J144" s="652"/>
      <c r="K144" s="652"/>
      <c r="L144" s="657"/>
      <c r="M144" s="657"/>
      <c r="N144" s="657"/>
      <c r="O144" s="652"/>
      <c r="P144" s="652"/>
      <c r="Q144" s="652"/>
      <c r="R144" s="652"/>
      <c r="S144" s="652"/>
      <c r="T144" s="657"/>
      <c r="U144" s="657"/>
      <c r="V144" s="657"/>
      <c r="W144" s="652"/>
      <c r="X144" s="652"/>
      <c r="Y144" s="652"/>
      <c r="Z144" s="652"/>
      <c r="AA144" s="652"/>
      <c r="AB144" s="652"/>
      <c r="AC144" s="652"/>
      <c r="AD144" s="652"/>
      <c r="AE144" s="652"/>
      <c r="AF144" s="652"/>
      <c r="AG144" s="652"/>
      <c r="AH144" s="652"/>
      <c r="AI144" s="652"/>
      <c r="AJ144" s="652"/>
      <c r="AK144" s="652"/>
      <c r="AL144" s="652"/>
      <c r="AM144" s="652"/>
    </row>
    <row r="145" spans="1:39"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652"/>
      <c r="AF145" s="652"/>
      <c r="AG145" s="652"/>
      <c r="AH145" s="652"/>
      <c r="AI145" s="652"/>
      <c r="AJ145" s="652"/>
      <c r="AK145" s="652"/>
      <c r="AL145" s="652"/>
      <c r="AM145" s="652"/>
    </row>
    <row r="146" spans="1:39"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652"/>
      <c r="AF146" s="652"/>
      <c r="AG146" s="652"/>
      <c r="AH146" s="652"/>
      <c r="AI146" s="652"/>
      <c r="AJ146" s="652"/>
      <c r="AK146" s="652"/>
      <c r="AL146" s="652"/>
      <c r="AM146" s="652"/>
    </row>
    <row r="147" spans="1:39"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c r="AI148" s="652"/>
      <c r="AJ148" s="652"/>
      <c r="AK148" s="652"/>
      <c r="AL148" s="652"/>
      <c r="AM148" s="652"/>
    </row>
    <row r="149" spans="1:39"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c r="AH149" s="652"/>
      <c r="AI149" s="652"/>
      <c r="AJ149" s="652"/>
      <c r="AK149" s="652"/>
      <c r="AL149" s="652"/>
      <c r="AM149" s="652"/>
    </row>
    <row r="150" spans="1:39" hidden="1" x14ac:dyDescent="0.2">
      <c r="A150" s="652"/>
      <c r="B150" s="652"/>
      <c r="C150" s="652"/>
      <c r="D150" s="652"/>
      <c r="E150" s="652"/>
      <c r="F150" s="652"/>
      <c r="G150" s="652"/>
      <c r="H150" s="652"/>
      <c r="I150" s="652"/>
      <c r="J150" s="652"/>
      <c r="K150" s="652"/>
      <c r="L150" s="657"/>
      <c r="M150" s="657"/>
      <c r="N150" s="657"/>
      <c r="O150" s="652"/>
      <c r="P150" s="652"/>
      <c r="Q150" s="652"/>
      <c r="R150" s="652"/>
      <c r="S150" s="652"/>
      <c r="T150" s="657"/>
      <c r="U150" s="657"/>
      <c r="V150" s="657"/>
      <c r="W150" s="652"/>
      <c r="X150" s="652"/>
      <c r="Y150" s="652"/>
      <c r="Z150" s="652"/>
      <c r="AA150" s="652"/>
      <c r="AB150" s="652"/>
      <c r="AC150" s="652"/>
      <c r="AD150" s="652"/>
      <c r="AE150" s="652"/>
      <c r="AF150" s="652"/>
      <c r="AG150" s="652"/>
      <c r="AH150" s="652"/>
      <c r="AI150" s="652"/>
      <c r="AJ150" s="652"/>
      <c r="AK150" s="652"/>
      <c r="AL150" s="652"/>
      <c r="AM150" s="652"/>
    </row>
    <row r="151" spans="1:39" hidden="1" x14ac:dyDescent="0.2">
      <c r="A151" s="652"/>
      <c r="B151" s="652"/>
      <c r="C151" s="652"/>
      <c r="D151" s="652"/>
      <c r="E151" s="652"/>
      <c r="F151" s="652"/>
      <c r="G151" s="652"/>
      <c r="H151" s="652"/>
      <c r="I151" s="652"/>
      <c r="J151" s="652"/>
      <c r="K151" s="652"/>
      <c r="L151" s="657"/>
      <c r="M151" s="657"/>
      <c r="N151" s="657"/>
      <c r="O151" s="652"/>
      <c r="P151" s="652"/>
      <c r="Q151" s="652"/>
      <c r="R151" s="652"/>
      <c r="S151" s="652"/>
      <c r="T151" s="657"/>
      <c r="U151" s="657"/>
      <c r="V151" s="657"/>
      <c r="W151" s="652"/>
      <c r="X151" s="652"/>
      <c r="Y151" s="652"/>
      <c r="Z151" s="652"/>
      <c r="AA151" s="652"/>
      <c r="AB151" s="652"/>
      <c r="AC151" s="652"/>
      <c r="AD151" s="652"/>
      <c r="AE151" s="652"/>
      <c r="AF151" s="652"/>
      <c r="AG151" s="652"/>
      <c r="AH151" s="652"/>
      <c r="AI151" s="652"/>
      <c r="AJ151" s="652"/>
      <c r="AK151" s="652"/>
      <c r="AL151" s="652"/>
      <c r="AM151" s="652"/>
    </row>
    <row r="152" spans="1:39" hidden="1" x14ac:dyDescent="0.2">
      <c r="A152" s="652"/>
      <c r="B152" s="652"/>
      <c r="C152" s="652"/>
      <c r="D152" s="652"/>
      <c r="E152" s="652"/>
      <c r="F152" s="652"/>
      <c r="G152" s="652"/>
      <c r="H152" s="652"/>
      <c r="I152" s="652"/>
      <c r="J152" s="652"/>
      <c r="K152" s="652"/>
      <c r="L152" s="657"/>
      <c r="M152" s="657"/>
      <c r="N152" s="657"/>
      <c r="O152" s="652"/>
      <c r="P152" s="652"/>
      <c r="Q152" s="652"/>
      <c r="R152" s="652"/>
      <c r="S152" s="652"/>
      <c r="T152" s="657"/>
      <c r="U152" s="657"/>
      <c r="V152" s="657"/>
      <c r="W152" s="652"/>
      <c r="X152" s="652"/>
      <c r="Y152" s="652"/>
      <c r="Z152" s="652"/>
      <c r="AA152" s="652"/>
      <c r="AB152" s="652"/>
      <c r="AC152" s="652"/>
      <c r="AD152" s="652"/>
      <c r="AE152" s="652"/>
      <c r="AF152" s="652"/>
      <c r="AG152" s="652"/>
      <c r="AH152" s="652"/>
      <c r="AI152" s="652"/>
      <c r="AJ152" s="652"/>
      <c r="AK152" s="652"/>
      <c r="AL152" s="652"/>
      <c r="AM152" s="652"/>
    </row>
    <row r="153" spans="1:39" hidden="1" x14ac:dyDescent="0.2">
      <c r="A153" s="652"/>
      <c r="B153" s="652"/>
      <c r="C153" s="652"/>
      <c r="D153" s="652"/>
      <c r="E153" s="652"/>
      <c r="F153" s="652"/>
      <c r="G153" s="652"/>
      <c r="H153" s="652"/>
      <c r="I153" s="652"/>
      <c r="J153" s="652"/>
      <c r="K153" s="652"/>
      <c r="L153" s="657"/>
      <c r="M153" s="657"/>
      <c r="N153" s="657"/>
      <c r="O153" s="652"/>
      <c r="P153" s="652"/>
      <c r="Q153" s="652"/>
      <c r="R153" s="652"/>
      <c r="S153" s="652"/>
      <c r="T153" s="657"/>
      <c r="U153" s="657"/>
      <c r="V153" s="657"/>
      <c r="W153" s="652"/>
      <c r="X153" s="652"/>
      <c r="Y153" s="652"/>
      <c r="Z153" s="652"/>
      <c r="AA153" s="652"/>
      <c r="AB153" s="652"/>
      <c r="AC153" s="652"/>
      <c r="AD153" s="652"/>
      <c r="AE153" s="652"/>
      <c r="AF153" s="652"/>
      <c r="AG153" s="652"/>
      <c r="AH153" s="652"/>
      <c r="AI153" s="652"/>
      <c r="AJ153" s="652"/>
      <c r="AK153" s="652"/>
      <c r="AL153" s="652"/>
      <c r="AM153" s="652"/>
    </row>
    <row r="154" spans="1:39" hidden="1" x14ac:dyDescent="0.2">
      <c r="A154" s="652"/>
      <c r="B154" s="652"/>
      <c r="C154" s="652"/>
      <c r="D154" s="652"/>
      <c r="E154" s="652"/>
      <c r="F154" s="652"/>
      <c r="G154" s="652"/>
      <c r="H154" s="652"/>
      <c r="I154" s="652"/>
      <c r="J154" s="652"/>
      <c r="K154" s="652"/>
      <c r="L154" s="652"/>
      <c r="M154" s="652"/>
      <c r="N154" s="652"/>
      <c r="O154" s="652"/>
      <c r="P154" s="652"/>
      <c r="Q154" s="652"/>
      <c r="R154" s="652"/>
      <c r="S154" s="652"/>
      <c r="T154" s="652"/>
      <c r="U154" s="652"/>
      <c r="V154" s="652"/>
      <c r="W154" s="652"/>
      <c r="X154" s="652"/>
      <c r="Y154" s="652"/>
      <c r="Z154" s="652"/>
      <c r="AA154" s="652"/>
      <c r="AB154" s="652"/>
      <c r="AC154" s="652"/>
      <c r="AD154" s="652"/>
      <c r="AE154" s="652"/>
      <c r="AF154" s="652"/>
      <c r="AG154" s="652"/>
      <c r="AH154" s="652"/>
      <c r="AI154" s="652"/>
      <c r="AJ154" s="652"/>
      <c r="AK154" s="652"/>
      <c r="AL154" s="652"/>
      <c r="AM154" s="652"/>
    </row>
    <row r="155" spans="1:39" hidden="1" x14ac:dyDescent="0.2">
      <c r="A155" s="652"/>
      <c r="B155" s="652"/>
      <c r="C155" s="652"/>
      <c r="D155" s="652"/>
      <c r="E155" s="652"/>
      <c r="F155" s="652"/>
      <c r="G155" s="652"/>
      <c r="H155" s="652"/>
      <c r="I155" s="652"/>
      <c r="J155" s="652"/>
      <c r="K155" s="652"/>
      <c r="L155" s="652"/>
      <c r="M155" s="652"/>
      <c r="N155" s="652"/>
      <c r="O155" s="652"/>
      <c r="P155" s="652"/>
      <c r="Q155" s="652"/>
      <c r="R155" s="652"/>
      <c r="S155" s="652"/>
      <c r="T155" s="652"/>
      <c r="U155" s="652"/>
      <c r="V155" s="652"/>
      <c r="W155" s="652"/>
      <c r="X155" s="652"/>
      <c r="Y155" s="652"/>
      <c r="Z155" s="652"/>
      <c r="AA155" s="652"/>
      <c r="AB155" s="652"/>
      <c r="AC155" s="652"/>
      <c r="AD155" s="652"/>
      <c r="AE155" s="652"/>
      <c r="AF155" s="652"/>
      <c r="AG155" s="652"/>
      <c r="AH155" s="652"/>
      <c r="AI155" s="652"/>
      <c r="AJ155" s="652"/>
      <c r="AK155" s="652"/>
      <c r="AL155" s="652"/>
      <c r="AM155" s="652"/>
    </row>
    <row r="156" spans="1:39" hidden="1" x14ac:dyDescent="0.2">
      <c r="A156" s="652"/>
      <c r="B156" s="652"/>
      <c r="C156" s="652"/>
      <c r="D156" s="652"/>
      <c r="E156" s="652"/>
      <c r="F156" s="652"/>
      <c r="G156" s="652"/>
      <c r="H156" s="652"/>
      <c r="I156" s="652"/>
      <c r="J156" s="652"/>
      <c r="K156" s="652"/>
      <c r="L156" s="652"/>
      <c r="M156" s="652"/>
      <c r="N156" s="652"/>
      <c r="O156" s="652"/>
      <c r="P156" s="652"/>
      <c r="Q156" s="652"/>
      <c r="R156" s="652"/>
      <c r="S156" s="652"/>
      <c r="T156" s="652"/>
      <c r="U156" s="652"/>
      <c r="V156" s="652"/>
      <c r="W156" s="652"/>
      <c r="X156" s="652"/>
      <c r="Y156" s="652"/>
      <c r="Z156" s="652"/>
      <c r="AA156" s="652"/>
      <c r="AB156" s="652"/>
      <c r="AC156" s="652"/>
      <c r="AD156" s="652"/>
      <c r="AE156" s="652"/>
      <c r="AF156" s="652"/>
      <c r="AG156" s="652"/>
      <c r="AH156" s="652"/>
      <c r="AI156" s="652"/>
      <c r="AJ156" s="652"/>
      <c r="AK156" s="652"/>
      <c r="AL156" s="652"/>
      <c r="AM156" s="652"/>
    </row>
    <row r="157" spans="1:39" hidden="1" x14ac:dyDescent="0.2">
      <c r="A157" s="652"/>
      <c r="B157" s="652"/>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652"/>
      <c r="AK157" s="652"/>
      <c r="AL157" s="652"/>
      <c r="AM157" s="652"/>
    </row>
    <row r="158" spans="1:39" hidden="1" x14ac:dyDescent="0.2">
      <c r="A158" s="652"/>
      <c r="B158" s="652"/>
      <c r="C158" s="652"/>
      <c r="D158" s="652"/>
      <c r="E158" s="652"/>
      <c r="F158" s="652"/>
      <c r="G158" s="652"/>
      <c r="H158" s="652"/>
      <c r="I158" s="652"/>
      <c r="J158" s="652"/>
      <c r="K158" s="652"/>
      <c r="L158" s="652"/>
      <c r="M158" s="652"/>
      <c r="N158" s="652"/>
      <c r="O158" s="652"/>
      <c r="P158" s="652"/>
      <c r="Q158" s="652"/>
      <c r="R158" s="652"/>
      <c r="S158" s="652"/>
      <c r="T158" s="652"/>
      <c r="U158" s="652"/>
      <c r="V158" s="652"/>
      <c r="W158" s="652"/>
      <c r="X158" s="652"/>
      <c r="Y158" s="652"/>
      <c r="Z158" s="652"/>
      <c r="AA158" s="652"/>
      <c r="AB158" s="652"/>
      <c r="AC158" s="652"/>
      <c r="AD158" s="652"/>
      <c r="AE158" s="652"/>
      <c r="AF158" s="652"/>
      <c r="AG158" s="652"/>
      <c r="AH158" s="652"/>
      <c r="AI158" s="652"/>
      <c r="AJ158" s="652"/>
      <c r="AK158" s="652"/>
      <c r="AL158" s="652"/>
      <c r="AM158" s="652"/>
    </row>
    <row r="159" spans="1:39" hidden="1" x14ac:dyDescent="0.2">
      <c r="A159" s="652"/>
      <c r="B159" s="652"/>
      <c r="C159" s="652"/>
      <c r="D159" s="652"/>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652"/>
      <c r="AF159" s="652"/>
      <c r="AG159" s="652"/>
      <c r="AH159" s="652"/>
      <c r="AI159" s="652"/>
      <c r="AJ159" s="652"/>
      <c r="AK159" s="652"/>
      <c r="AL159" s="652"/>
      <c r="AM159" s="652"/>
    </row>
    <row r="160" spans="1:39" hidden="1" x14ac:dyDescent="0.2">
      <c r="A160" s="652"/>
      <c r="B160" s="652"/>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row>
    <row r="161" spans="1:39"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row>
    <row r="162" spans="1:39" hidden="1" x14ac:dyDescent="0.2">
      <c r="A162" s="652"/>
      <c r="B162" s="652"/>
      <c r="C162" s="652"/>
      <c r="D162" s="652"/>
      <c r="E162" s="652"/>
      <c r="F162" s="652"/>
      <c r="G162" s="652"/>
      <c r="H162" s="652"/>
      <c r="I162" s="652"/>
      <c r="J162" s="652"/>
      <c r="K162" s="652"/>
      <c r="L162" s="652"/>
      <c r="M162" s="652"/>
      <c r="N162" s="652"/>
      <c r="O162" s="652"/>
      <c r="P162" s="652"/>
      <c r="Q162" s="652"/>
      <c r="R162" s="652"/>
      <c r="S162" s="652"/>
      <c r="T162" s="652"/>
      <c r="U162" s="652"/>
      <c r="V162" s="652"/>
      <c r="W162" s="652"/>
      <c r="X162" s="652"/>
      <c r="Y162" s="652"/>
      <c r="Z162" s="652"/>
      <c r="AA162" s="652"/>
      <c r="AB162" s="652"/>
      <c r="AC162" s="652"/>
      <c r="AD162" s="652"/>
      <c r="AE162" s="652"/>
      <c r="AF162" s="652"/>
      <c r="AG162" s="652"/>
      <c r="AH162" s="652"/>
      <c r="AI162" s="652"/>
      <c r="AJ162" s="652"/>
      <c r="AK162" s="652"/>
      <c r="AL162" s="652"/>
      <c r="AM162" s="652"/>
    </row>
    <row r="163" spans="1:39" hidden="1" x14ac:dyDescent="0.2">
      <c r="A163" s="652"/>
      <c r="B163" s="652"/>
      <c r="C163" s="652"/>
      <c r="D163" s="652"/>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52"/>
      <c r="AE163" s="652"/>
      <c r="AF163" s="652"/>
      <c r="AG163" s="652"/>
      <c r="AH163" s="652"/>
      <c r="AI163" s="652"/>
      <c r="AJ163" s="652"/>
      <c r="AK163" s="652"/>
      <c r="AL163" s="652"/>
      <c r="AM163" s="652"/>
    </row>
    <row r="164" spans="1:39" hidden="1" x14ac:dyDescent="0.2">
      <c r="A164" s="652"/>
      <c r="B164" s="652"/>
      <c r="C164" s="652"/>
      <c r="D164" s="652"/>
      <c r="E164" s="652"/>
      <c r="F164" s="652"/>
      <c r="G164" s="652"/>
      <c r="H164" s="652"/>
      <c r="I164" s="652"/>
      <c r="J164" s="652"/>
      <c r="K164" s="652"/>
      <c r="L164" s="652"/>
      <c r="M164" s="652"/>
      <c r="N164" s="652"/>
      <c r="O164" s="652"/>
      <c r="P164" s="652"/>
      <c r="Q164" s="652"/>
      <c r="R164" s="652"/>
      <c r="S164" s="652"/>
      <c r="T164" s="652"/>
      <c r="U164" s="652"/>
      <c r="V164" s="652"/>
      <c r="W164" s="652"/>
      <c r="X164" s="652"/>
      <c r="Y164" s="652"/>
      <c r="Z164" s="652"/>
      <c r="AA164" s="652"/>
      <c r="AB164" s="652"/>
      <c r="AC164" s="652"/>
      <c r="AD164" s="652"/>
      <c r="AE164" s="652"/>
      <c r="AF164" s="652"/>
      <c r="AG164" s="652"/>
      <c r="AH164" s="652"/>
      <c r="AI164" s="652"/>
      <c r="AJ164" s="652"/>
      <c r="AK164" s="652"/>
      <c r="AL164" s="652"/>
      <c r="AM164" s="652"/>
    </row>
    <row r="165" spans="1:39" hidden="1" x14ac:dyDescent="0.2">
      <c r="A165" s="652"/>
      <c r="B165" s="652"/>
      <c r="C165" s="652"/>
      <c r="D165" s="652"/>
      <c r="E165" s="652"/>
      <c r="F165" s="652"/>
      <c r="G165" s="652"/>
      <c r="H165" s="652"/>
      <c r="I165" s="652"/>
      <c r="J165" s="652"/>
      <c r="K165" s="652"/>
      <c r="L165" s="652"/>
      <c r="M165" s="652"/>
      <c r="N165" s="652"/>
      <c r="O165" s="652"/>
      <c r="P165" s="652"/>
      <c r="Q165" s="652"/>
      <c r="R165" s="652"/>
      <c r="S165" s="652"/>
      <c r="T165" s="652"/>
      <c r="U165" s="652"/>
      <c r="V165" s="652"/>
      <c r="W165" s="652"/>
      <c r="X165" s="652"/>
      <c r="Y165" s="652"/>
      <c r="Z165" s="652"/>
      <c r="AA165" s="652"/>
      <c r="AB165" s="652"/>
      <c r="AC165" s="652"/>
      <c r="AD165" s="652"/>
      <c r="AE165" s="652"/>
      <c r="AF165" s="652"/>
      <c r="AG165" s="652"/>
      <c r="AH165" s="652"/>
      <c r="AI165" s="652"/>
      <c r="AJ165" s="652"/>
      <c r="AK165" s="652"/>
      <c r="AL165" s="652"/>
      <c r="AM165" s="652"/>
    </row>
    <row r="166" spans="1:39" hidden="1" x14ac:dyDescent="0.2">
      <c r="A166" s="652"/>
      <c r="B166" s="652"/>
      <c r="C166" s="652"/>
      <c r="D166" s="652"/>
      <c r="E166" s="652"/>
      <c r="F166" s="652"/>
      <c r="G166" s="652"/>
      <c r="H166" s="652"/>
      <c r="I166" s="652"/>
      <c r="J166" s="652"/>
      <c r="K166" s="652"/>
      <c r="L166" s="652"/>
      <c r="M166" s="652"/>
      <c r="N166" s="652"/>
      <c r="O166" s="652"/>
      <c r="P166" s="652"/>
      <c r="Q166" s="652"/>
      <c r="R166" s="652"/>
      <c r="S166" s="652"/>
      <c r="T166" s="652"/>
      <c r="U166" s="652"/>
      <c r="V166" s="652"/>
      <c r="W166" s="652"/>
      <c r="X166" s="652"/>
      <c r="Y166" s="652"/>
      <c r="Z166" s="652"/>
      <c r="AA166" s="652"/>
      <c r="AB166" s="652"/>
      <c r="AC166" s="652"/>
      <c r="AD166" s="652"/>
      <c r="AE166" s="652"/>
      <c r="AF166" s="652"/>
      <c r="AG166" s="652"/>
      <c r="AH166" s="652"/>
      <c r="AI166" s="652"/>
      <c r="AJ166" s="652"/>
      <c r="AK166" s="652"/>
      <c r="AL166" s="652"/>
      <c r="AM166" s="652"/>
    </row>
    <row r="167" spans="1:39" hidden="1" x14ac:dyDescent="0.2">
      <c r="A167" s="652"/>
      <c r="B167" s="652"/>
      <c r="C167" s="652"/>
      <c r="D167" s="652"/>
      <c r="E167" s="652"/>
      <c r="F167" s="652"/>
      <c r="G167" s="652"/>
      <c r="H167" s="652"/>
      <c r="I167" s="652"/>
      <c r="J167" s="652"/>
      <c r="K167" s="652"/>
      <c r="L167" s="657"/>
      <c r="M167" s="657"/>
      <c r="N167" s="657"/>
      <c r="O167" s="652"/>
      <c r="P167" s="652"/>
      <c r="Q167" s="652"/>
      <c r="R167" s="652"/>
      <c r="S167" s="652"/>
      <c r="T167" s="657"/>
      <c r="U167" s="657"/>
      <c r="V167" s="657"/>
      <c r="W167" s="652"/>
      <c r="X167" s="652"/>
      <c r="Y167" s="652"/>
      <c r="Z167" s="652"/>
      <c r="AA167" s="652"/>
      <c r="AB167" s="652"/>
      <c r="AC167" s="652"/>
      <c r="AD167" s="652"/>
      <c r="AE167" s="652"/>
      <c r="AF167" s="652"/>
      <c r="AG167" s="652"/>
      <c r="AH167" s="652"/>
      <c r="AI167" s="652"/>
      <c r="AJ167" s="652"/>
      <c r="AK167" s="652"/>
      <c r="AL167" s="652"/>
      <c r="AM167" s="652"/>
    </row>
    <row r="168" spans="1:39" hidden="1" x14ac:dyDescent="0.2">
      <c r="A168" s="652"/>
      <c r="B168" s="652"/>
      <c r="C168" s="652"/>
      <c r="D168" s="652"/>
      <c r="E168" s="652"/>
      <c r="F168" s="652"/>
      <c r="G168" s="652"/>
      <c r="H168" s="652"/>
      <c r="I168" s="652"/>
      <c r="J168" s="652"/>
      <c r="K168" s="652"/>
      <c r="L168" s="657"/>
      <c r="M168" s="657"/>
      <c r="N168" s="657"/>
      <c r="O168" s="652"/>
      <c r="P168" s="652"/>
      <c r="Q168" s="652"/>
      <c r="R168" s="652"/>
      <c r="S168" s="652"/>
      <c r="T168" s="657"/>
      <c r="U168" s="657"/>
      <c r="V168" s="657"/>
      <c r="W168" s="652"/>
      <c r="X168" s="652"/>
      <c r="Y168" s="652"/>
      <c r="Z168" s="652"/>
      <c r="AA168" s="652"/>
      <c r="AB168" s="652"/>
      <c r="AC168" s="652"/>
      <c r="AD168" s="652"/>
      <c r="AE168" s="652"/>
      <c r="AF168" s="652"/>
      <c r="AG168" s="652"/>
      <c r="AH168" s="652"/>
      <c r="AI168" s="652"/>
      <c r="AJ168" s="652"/>
      <c r="AK168" s="652"/>
      <c r="AL168" s="652"/>
      <c r="AM168" s="652"/>
    </row>
    <row r="169" spans="1:39" hidden="1" x14ac:dyDescent="0.2">
      <c r="A169" s="652"/>
      <c r="B169" s="652"/>
      <c r="C169" s="652"/>
      <c r="D169" s="652"/>
      <c r="E169" s="652"/>
      <c r="F169" s="652"/>
      <c r="G169" s="652"/>
      <c r="H169" s="652"/>
      <c r="I169" s="652"/>
      <c r="J169" s="652"/>
      <c r="K169" s="652"/>
      <c r="L169" s="657"/>
      <c r="M169" s="657"/>
      <c r="N169" s="657"/>
      <c r="O169" s="652"/>
      <c r="P169" s="652"/>
      <c r="Q169" s="652"/>
      <c r="R169" s="652"/>
      <c r="S169" s="652"/>
      <c r="T169" s="657"/>
      <c r="U169" s="657"/>
      <c r="V169" s="657"/>
      <c r="W169" s="652"/>
      <c r="X169" s="652"/>
      <c r="Y169" s="652"/>
      <c r="Z169" s="652"/>
      <c r="AA169" s="652"/>
      <c r="AB169" s="652"/>
      <c r="AC169" s="652"/>
      <c r="AD169" s="652"/>
      <c r="AE169" s="652"/>
      <c r="AF169" s="652"/>
      <c r="AG169" s="652"/>
      <c r="AH169" s="652"/>
      <c r="AI169" s="652"/>
      <c r="AJ169" s="652"/>
      <c r="AK169" s="652"/>
      <c r="AL169" s="652"/>
      <c r="AM169" s="652"/>
    </row>
    <row r="170" spans="1:39" hidden="1" x14ac:dyDescent="0.2">
      <c r="A170" s="652"/>
      <c r="B170" s="652"/>
      <c r="C170" s="652"/>
      <c r="D170" s="652"/>
      <c r="E170" s="652"/>
      <c r="F170" s="652"/>
      <c r="G170" s="652"/>
      <c r="H170" s="652"/>
      <c r="I170" s="652"/>
      <c r="J170" s="652"/>
      <c r="K170" s="652"/>
      <c r="L170" s="657"/>
      <c r="M170" s="657"/>
      <c r="N170" s="657"/>
      <c r="O170" s="652"/>
      <c r="P170" s="652"/>
      <c r="Q170" s="652"/>
      <c r="R170" s="652"/>
      <c r="S170" s="652"/>
      <c r="T170" s="657"/>
      <c r="U170" s="657"/>
      <c r="V170" s="657"/>
      <c r="W170" s="652"/>
      <c r="X170" s="652"/>
      <c r="Y170" s="652"/>
      <c r="Z170" s="652"/>
      <c r="AA170" s="652"/>
      <c r="AB170" s="652"/>
      <c r="AC170" s="652"/>
      <c r="AD170" s="652"/>
      <c r="AE170" s="652"/>
      <c r="AF170" s="652"/>
      <c r="AG170" s="652"/>
      <c r="AH170" s="652"/>
      <c r="AI170" s="652"/>
      <c r="AJ170" s="652"/>
      <c r="AK170" s="652"/>
      <c r="AL170" s="652"/>
      <c r="AM170" s="652"/>
    </row>
    <row r="171" spans="1:39" hidden="1" x14ac:dyDescent="0.2">
      <c r="A171" s="652"/>
      <c r="B171" s="652"/>
      <c r="C171" s="652"/>
      <c r="D171" s="652"/>
      <c r="E171" s="652"/>
      <c r="F171" s="652"/>
      <c r="G171" s="652"/>
      <c r="H171" s="652"/>
      <c r="I171" s="652"/>
      <c r="J171" s="652"/>
      <c r="K171" s="652"/>
      <c r="L171" s="657"/>
      <c r="M171" s="657"/>
      <c r="N171" s="657"/>
      <c r="O171" s="652"/>
      <c r="P171" s="652"/>
      <c r="Q171" s="652"/>
      <c r="R171" s="652"/>
      <c r="S171" s="652"/>
      <c r="T171" s="657"/>
      <c r="U171" s="657"/>
      <c r="V171" s="657"/>
      <c r="W171" s="652"/>
      <c r="X171" s="652"/>
      <c r="Y171" s="652"/>
      <c r="Z171" s="652"/>
      <c r="AA171" s="652"/>
      <c r="AB171" s="652"/>
      <c r="AC171" s="652"/>
      <c r="AD171" s="652"/>
      <c r="AE171" s="652"/>
      <c r="AF171" s="652"/>
      <c r="AG171" s="652"/>
      <c r="AH171" s="652"/>
      <c r="AI171" s="652"/>
      <c r="AJ171" s="652"/>
      <c r="AK171" s="652"/>
      <c r="AL171" s="652"/>
      <c r="AM171" s="652"/>
    </row>
    <row r="172" spans="1:39" hidden="1" x14ac:dyDescent="0.2">
      <c r="A172" s="652"/>
      <c r="B172" s="652"/>
      <c r="C172" s="652"/>
      <c r="D172" s="652"/>
      <c r="E172" s="652"/>
      <c r="F172" s="652"/>
      <c r="G172" s="652"/>
      <c r="H172" s="652"/>
      <c r="I172" s="652"/>
      <c r="J172" s="652"/>
      <c r="K172" s="652"/>
      <c r="L172" s="657"/>
      <c r="M172" s="657"/>
      <c r="N172" s="657"/>
      <c r="O172" s="652"/>
      <c r="P172" s="652"/>
      <c r="Q172" s="652"/>
      <c r="R172" s="652"/>
      <c r="S172" s="652"/>
      <c r="T172" s="657"/>
      <c r="U172" s="657"/>
      <c r="V172" s="657"/>
      <c r="W172" s="652"/>
      <c r="X172" s="652"/>
      <c r="Y172" s="652"/>
      <c r="Z172" s="652"/>
      <c r="AA172" s="652"/>
      <c r="AB172" s="652"/>
      <c r="AC172" s="652"/>
      <c r="AD172" s="652"/>
      <c r="AE172" s="652"/>
      <c r="AF172" s="652"/>
      <c r="AG172" s="652"/>
      <c r="AH172" s="652"/>
      <c r="AI172" s="652"/>
      <c r="AJ172" s="652"/>
      <c r="AK172" s="652"/>
      <c r="AL172" s="652"/>
      <c r="AM172" s="652"/>
    </row>
    <row r="173" spans="1:39" hidden="1" x14ac:dyDescent="0.2">
      <c r="A173" s="652"/>
      <c r="B173" s="652"/>
      <c r="C173" s="652"/>
      <c r="D173" s="652"/>
      <c r="E173" s="652"/>
      <c r="F173" s="652"/>
      <c r="G173" s="652"/>
      <c r="H173" s="652"/>
      <c r="I173" s="652"/>
      <c r="J173" s="652"/>
      <c r="K173" s="652"/>
      <c r="L173" s="657"/>
      <c r="M173" s="657"/>
      <c r="N173" s="657"/>
      <c r="O173" s="652"/>
      <c r="P173" s="652"/>
      <c r="Q173" s="652"/>
      <c r="R173" s="652"/>
      <c r="S173" s="652"/>
      <c r="T173" s="657"/>
      <c r="U173" s="657"/>
      <c r="V173" s="657"/>
      <c r="W173" s="652"/>
      <c r="X173" s="652"/>
      <c r="Y173" s="652"/>
      <c r="Z173" s="652"/>
      <c r="AA173" s="652"/>
      <c r="AB173" s="652"/>
      <c r="AC173" s="652"/>
      <c r="AD173" s="652"/>
      <c r="AE173" s="652"/>
      <c r="AF173" s="652"/>
      <c r="AG173" s="652"/>
      <c r="AH173" s="652"/>
      <c r="AI173" s="652"/>
      <c r="AJ173" s="652"/>
      <c r="AK173" s="652"/>
      <c r="AL173" s="652"/>
      <c r="AM173" s="652"/>
    </row>
    <row r="174" spans="1:39"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652"/>
      <c r="AF174" s="652"/>
      <c r="AG174" s="652"/>
      <c r="AH174" s="652"/>
      <c r="AI174" s="652"/>
      <c r="AJ174" s="652"/>
      <c r="AK174" s="652"/>
      <c r="AL174" s="652"/>
      <c r="AM174" s="652"/>
    </row>
    <row r="175" spans="1:39"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652"/>
      <c r="AF175" s="652"/>
      <c r="AG175" s="652"/>
      <c r="AH175" s="652"/>
      <c r="AI175" s="652"/>
      <c r="AJ175" s="652"/>
      <c r="AK175" s="652"/>
      <c r="AL175" s="652"/>
      <c r="AM175" s="652"/>
    </row>
    <row r="176" spans="1:39"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c r="AI284" s="652"/>
      <c r="AJ284" s="652"/>
      <c r="AK284" s="652"/>
      <c r="AL284" s="652"/>
      <c r="AM284" s="652"/>
    </row>
    <row r="285" spans="1:39"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c r="AH285" s="652"/>
      <c r="AI285" s="652"/>
      <c r="AJ285" s="652"/>
      <c r="AK285" s="652"/>
      <c r="AL285" s="652"/>
      <c r="AM285" s="652"/>
    </row>
    <row r="286" spans="1:39" hidden="1" x14ac:dyDescent="0.2">
      <c r="A286" s="652"/>
      <c r="B286" s="652"/>
      <c r="C286" s="652"/>
      <c r="D286" s="652"/>
      <c r="E286" s="652"/>
      <c r="F286" s="652"/>
      <c r="G286" s="652"/>
      <c r="H286" s="652"/>
      <c r="I286" s="652"/>
      <c r="J286" s="652"/>
      <c r="K286" s="652"/>
      <c r="L286" s="657"/>
      <c r="M286" s="657"/>
      <c r="N286" s="657"/>
      <c r="O286" s="652"/>
      <c r="P286" s="652"/>
      <c r="Q286" s="652"/>
      <c r="R286" s="652"/>
      <c r="S286" s="652"/>
      <c r="T286" s="657"/>
      <c r="U286" s="657"/>
      <c r="V286" s="657"/>
      <c r="W286" s="652"/>
      <c r="X286" s="652"/>
      <c r="Y286" s="652"/>
      <c r="Z286" s="652"/>
      <c r="AA286" s="652"/>
      <c r="AB286" s="652"/>
      <c r="AC286" s="652"/>
      <c r="AD286" s="652"/>
      <c r="AE286" s="652"/>
      <c r="AF286" s="652"/>
      <c r="AG286" s="652"/>
      <c r="AH286" s="652"/>
      <c r="AI286" s="652"/>
      <c r="AJ286" s="652"/>
      <c r="AK286" s="652"/>
      <c r="AL286" s="652"/>
      <c r="AM286" s="652"/>
    </row>
    <row r="287" spans="1:39" hidden="1" x14ac:dyDescent="0.2">
      <c r="A287" s="652"/>
      <c r="B287" s="652"/>
      <c r="C287" s="652"/>
      <c r="D287" s="652"/>
      <c r="E287" s="652"/>
      <c r="F287" s="652"/>
      <c r="G287" s="652"/>
      <c r="H287" s="652"/>
      <c r="I287" s="652"/>
      <c r="J287" s="652"/>
      <c r="K287" s="652"/>
      <c r="L287" s="657"/>
      <c r="M287" s="657"/>
      <c r="N287" s="657"/>
      <c r="O287" s="652"/>
      <c r="P287" s="652"/>
      <c r="Q287" s="652"/>
      <c r="R287" s="652"/>
      <c r="S287" s="652"/>
      <c r="T287" s="657"/>
      <c r="U287" s="657"/>
      <c r="V287" s="657"/>
      <c r="W287" s="652"/>
      <c r="X287" s="652"/>
      <c r="Y287" s="652"/>
      <c r="Z287" s="652"/>
      <c r="AA287" s="652"/>
      <c r="AB287" s="652"/>
      <c r="AC287" s="652"/>
      <c r="AD287" s="652"/>
      <c r="AE287" s="652"/>
      <c r="AF287" s="652"/>
      <c r="AG287" s="652"/>
      <c r="AH287" s="652"/>
      <c r="AI287" s="652"/>
      <c r="AJ287" s="652"/>
      <c r="AK287" s="652"/>
      <c r="AL287" s="652"/>
      <c r="AM287" s="652"/>
    </row>
    <row r="288" spans="1:39" hidden="1" x14ac:dyDescent="0.2">
      <c r="A288" s="652"/>
      <c r="B288" s="652"/>
      <c r="C288" s="652"/>
      <c r="D288" s="652"/>
      <c r="E288" s="652"/>
      <c r="F288" s="652"/>
      <c r="G288" s="652"/>
      <c r="H288" s="652"/>
      <c r="I288" s="652"/>
      <c r="J288" s="652"/>
      <c r="K288" s="652"/>
      <c r="L288" s="657"/>
      <c r="M288" s="657"/>
      <c r="N288" s="657"/>
      <c r="O288" s="652"/>
      <c r="P288" s="652"/>
      <c r="Q288" s="652"/>
      <c r="R288" s="652"/>
      <c r="S288" s="652"/>
      <c r="T288" s="657"/>
      <c r="U288" s="657"/>
      <c r="V288" s="657"/>
      <c r="W288" s="652"/>
      <c r="X288" s="652"/>
      <c r="Y288" s="652"/>
      <c r="Z288" s="652"/>
      <c r="AA288" s="652"/>
      <c r="AB288" s="652"/>
      <c r="AC288" s="652"/>
      <c r="AD288" s="652"/>
      <c r="AE288" s="652"/>
      <c r="AF288" s="652"/>
      <c r="AG288" s="652"/>
      <c r="AH288" s="652"/>
      <c r="AI288" s="652"/>
      <c r="AJ288" s="652"/>
      <c r="AK288" s="652"/>
      <c r="AL288" s="652"/>
      <c r="AM288" s="652"/>
    </row>
    <row r="289" spans="1:39" hidden="1" x14ac:dyDescent="0.2">
      <c r="A289" s="652"/>
      <c r="B289" s="652"/>
      <c r="C289" s="652"/>
      <c r="D289" s="652"/>
      <c r="E289" s="652"/>
      <c r="F289" s="652"/>
      <c r="G289" s="652"/>
      <c r="H289" s="652"/>
      <c r="I289" s="652"/>
      <c r="J289" s="652"/>
      <c r="K289" s="652"/>
      <c r="L289" s="657"/>
      <c r="M289" s="657"/>
      <c r="N289" s="657"/>
      <c r="O289" s="652"/>
      <c r="P289" s="652"/>
      <c r="Q289" s="652"/>
      <c r="R289" s="652"/>
      <c r="S289" s="652"/>
      <c r="T289" s="657"/>
      <c r="U289" s="657"/>
      <c r="V289" s="657"/>
      <c r="W289" s="652"/>
      <c r="X289" s="652"/>
      <c r="Y289" s="652"/>
      <c r="Z289" s="652"/>
      <c r="AA289" s="652"/>
      <c r="AB289" s="652"/>
      <c r="AC289" s="652"/>
      <c r="AD289" s="652"/>
      <c r="AE289" s="652"/>
      <c r="AF289" s="652"/>
      <c r="AG289" s="652"/>
      <c r="AH289" s="652"/>
      <c r="AI289" s="652"/>
      <c r="AJ289" s="652"/>
      <c r="AK289" s="652"/>
      <c r="AL289" s="652"/>
      <c r="AM289" s="652"/>
    </row>
    <row r="290" spans="1:39" hidden="1" x14ac:dyDescent="0.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c r="AI290" s="652"/>
      <c r="AJ290" s="652"/>
      <c r="AK290" s="652"/>
      <c r="AL290" s="652"/>
      <c r="AM290" s="652"/>
    </row>
    <row r="291" spans="1:39" hidden="1" x14ac:dyDescent="0.2">
      <c r="J291" s="652"/>
      <c r="K291" s="652"/>
      <c r="L291" s="652"/>
      <c r="M291" s="652"/>
      <c r="N291" s="652"/>
      <c r="O291" s="652"/>
      <c r="P291" s="652"/>
      <c r="Q291" s="652"/>
      <c r="R291" s="652"/>
      <c r="S291" s="652"/>
      <c r="T291" s="652"/>
      <c r="U291" s="652"/>
      <c r="V291" s="652"/>
      <c r="W291" s="652"/>
      <c r="X291" s="652"/>
      <c r="Y291" s="652"/>
      <c r="Z291" s="652"/>
      <c r="AA291" s="652"/>
      <c r="AB291" s="652"/>
      <c r="AC291" s="652"/>
      <c r="AD291" s="652"/>
      <c r="AE291" s="652"/>
      <c r="AF291" s="652"/>
      <c r="AG291" s="652"/>
      <c r="AH291" s="652"/>
      <c r="AI291" s="652"/>
      <c r="AJ291" s="652"/>
      <c r="AK291" s="652"/>
      <c r="AL291" s="652"/>
      <c r="AM291" s="652"/>
    </row>
    <row r="292" spans="1:39" hidden="1" x14ac:dyDescent="0.2">
      <c r="J292" s="652"/>
      <c r="K292" s="652"/>
      <c r="L292" s="652"/>
      <c r="M292" s="652"/>
      <c r="N292" s="652"/>
      <c r="O292" s="652"/>
      <c r="P292" s="652"/>
      <c r="Q292" s="652"/>
      <c r="R292" s="652"/>
      <c r="S292" s="652"/>
      <c r="T292" s="652"/>
      <c r="U292" s="652"/>
      <c r="V292" s="652"/>
      <c r="W292" s="703"/>
      <c r="X292" s="652"/>
      <c r="Y292" s="652"/>
      <c r="Z292" s="652"/>
      <c r="AA292" s="652"/>
      <c r="AB292" s="652"/>
      <c r="AC292" s="652"/>
      <c r="AD292" s="652"/>
      <c r="AE292" s="652"/>
      <c r="AF292" s="652"/>
      <c r="AG292" s="652"/>
      <c r="AH292" s="652"/>
      <c r="AI292" s="652"/>
      <c r="AJ292" s="652"/>
      <c r="AK292" s="652"/>
      <c r="AL292" s="652"/>
      <c r="AM292" s="652"/>
    </row>
    <row r="293" spans="1:39" hidden="1" x14ac:dyDescent="0.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652"/>
      <c r="AI293" s="652"/>
      <c r="AJ293" s="652"/>
      <c r="AK293" s="652"/>
      <c r="AL293" s="652"/>
      <c r="AM293" s="652"/>
    </row>
    <row r="294" spans="1:39" hidden="1" x14ac:dyDescent="0.2">
      <c r="J294" s="652"/>
      <c r="K294" s="652"/>
      <c r="L294" s="652"/>
      <c r="M294" s="652"/>
      <c r="N294" s="652"/>
      <c r="O294" s="652"/>
      <c r="P294" s="652"/>
      <c r="Q294" s="652"/>
      <c r="R294" s="652"/>
      <c r="S294" s="652"/>
      <c r="T294" s="652"/>
      <c r="U294" s="652"/>
      <c r="V294" s="652"/>
      <c r="W294" s="652"/>
      <c r="X294" s="652"/>
      <c r="Y294" s="652"/>
      <c r="Z294" s="652"/>
      <c r="AA294" s="652"/>
      <c r="AB294" s="652"/>
      <c r="AC294" s="652"/>
      <c r="AD294" s="652"/>
      <c r="AE294" s="652"/>
      <c r="AF294" s="652"/>
      <c r="AG294" s="652"/>
      <c r="AH294" s="652"/>
      <c r="AI294" s="652"/>
      <c r="AJ294" s="652"/>
      <c r="AK294" s="652"/>
      <c r="AL294" s="652"/>
      <c r="AM294" s="652"/>
    </row>
    <row r="295" spans="1:39" hidden="1" x14ac:dyDescent="0.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652"/>
      <c r="AF295" s="652"/>
      <c r="AG295" s="652"/>
      <c r="AH295" s="652"/>
      <c r="AI295" s="652"/>
      <c r="AJ295" s="652"/>
      <c r="AK295" s="652"/>
      <c r="AL295" s="652"/>
      <c r="AM295" s="652"/>
    </row>
    <row r="296" spans="1:39" hidden="1" x14ac:dyDescent="0.2">
      <c r="J296" s="652"/>
      <c r="K296" s="652"/>
      <c r="L296" s="652"/>
      <c r="M296" s="652"/>
      <c r="N296" s="652"/>
      <c r="O296" s="652"/>
      <c r="P296" s="652"/>
      <c r="Q296" s="652"/>
      <c r="R296" s="652"/>
      <c r="S296" s="652"/>
      <c r="T296" s="652"/>
      <c r="U296" s="652"/>
      <c r="V296" s="652"/>
      <c r="W296" s="652"/>
      <c r="X296" s="652"/>
      <c r="Y296" s="652"/>
      <c r="Z296" s="652"/>
      <c r="AA296" s="652"/>
      <c r="AB296" s="652"/>
      <c r="AC296" s="652"/>
      <c r="AD296" s="652"/>
      <c r="AE296" s="652"/>
      <c r="AF296" s="652"/>
      <c r="AG296" s="652"/>
      <c r="AH296" s="652"/>
      <c r="AI296" s="652"/>
      <c r="AJ296" s="652"/>
      <c r="AK296" s="652"/>
      <c r="AL296" s="652"/>
      <c r="AM296" s="652"/>
    </row>
    <row r="297" spans="1:39" hidden="1" x14ac:dyDescent="0.2">
      <c r="J297" s="652"/>
      <c r="K297" s="652"/>
      <c r="L297" s="652"/>
      <c r="M297" s="652"/>
      <c r="N297" s="652"/>
      <c r="O297" s="652"/>
      <c r="P297" s="652"/>
      <c r="Q297" s="652"/>
      <c r="R297" s="652"/>
      <c r="S297" s="652"/>
      <c r="T297" s="652"/>
      <c r="U297" s="652"/>
      <c r="V297" s="652"/>
      <c r="W297" s="703"/>
      <c r="X297" s="652"/>
      <c r="Y297" s="652"/>
      <c r="Z297" s="652"/>
      <c r="AA297" s="652"/>
      <c r="AB297" s="652"/>
      <c r="AC297" s="652"/>
      <c r="AD297" s="652"/>
      <c r="AE297" s="652"/>
      <c r="AF297" s="652"/>
      <c r="AG297" s="652"/>
      <c r="AH297" s="652"/>
      <c r="AI297" s="652"/>
      <c r="AJ297" s="652"/>
      <c r="AK297" s="652"/>
      <c r="AL297" s="652"/>
      <c r="AM297" s="652"/>
    </row>
    <row r="298" spans="1:39" x14ac:dyDescent="0.2">
      <c r="J298" s="652"/>
      <c r="K298" s="652"/>
      <c r="L298" s="652"/>
      <c r="M298" s="652"/>
      <c r="N298" s="652"/>
      <c r="O298" s="652"/>
      <c r="P298" s="652"/>
      <c r="Q298" s="652"/>
      <c r="R298" s="652"/>
      <c r="S298" s="652"/>
      <c r="T298" s="652"/>
      <c r="U298" s="652"/>
      <c r="V298" s="652"/>
      <c r="W298" s="652"/>
      <c r="X298" s="652"/>
      <c r="Y298" s="652"/>
      <c r="Z298" s="652"/>
      <c r="AA298" s="652"/>
      <c r="AB298" s="652"/>
      <c r="AC298" s="652"/>
      <c r="AD298" s="652"/>
      <c r="AE298" s="652"/>
      <c r="AF298" s="652"/>
      <c r="AG298" s="652"/>
      <c r="AH298" s="652"/>
      <c r="AI298" s="652"/>
      <c r="AJ298" s="652"/>
      <c r="AK298" s="652"/>
      <c r="AL298" s="652"/>
      <c r="AM298" s="652"/>
    </row>
    <row r="299" spans="1:39" x14ac:dyDescent="0.2">
      <c r="A299" s="652"/>
      <c r="B299" s="652"/>
      <c r="C299" s="697" t="s">
        <v>182</v>
      </c>
      <c r="D299" s="698"/>
      <c r="E299" s="698"/>
      <c r="F299" s="652" t="s">
        <v>199</v>
      </c>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c r="AH299" s="652"/>
      <c r="AI299" s="652"/>
      <c r="AJ299" s="652"/>
      <c r="AK299" s="652"/>
      <c r="AL299" s="652"/>
      <c r="AM299" s="652"/>
    </row>
    <row r="300" spans="1:39" x14ac:dyDescent="0.2">
      <c r="A300" s="699">
        <v>1</v>
      </c>
      <c r="B300" s="700" t="str">
        <f t="shared" ref="B300:B314" si="10">IFERROR(INDEX(B$1:B$91,MATCH(A300,A$1:A$91,0)),"")</f>
        <v>Ivar Viljaste, Matti Vinni</v>
      </c>
      <c r="C300" s="701">
        <f>IF(21-A300&gt;0,IF(OR(A300=A301,A299=A300),21-A300-0.5,21-A300),1)</f>
        <v>20</v>
      </c>
      <c r="D300" s="702"/>
      <c r="E300" s="702"/>
      <c r="F300" s="652">
        <v>4.5</v>
      </c>
      <c r="G300" s="652"/>
      <c r="H300" s="652"/>
      <c r="I300" s="652"/>
      <c r="J300" s="652"/>
      <c r="K300" s="652"/>
      <c r="L300" s="652"/>
      <c r="M300" s="652"/>
      <c r="N300" s="652"/>
      <c r="O300" s="652"/>
      <c r="P300" s="652"/>
      <c r="Q300" s="652"/>
      <c r="R300" s="652"/>
      <c r="S300" s="652"/>
      <c r="T300" s="652"/>
      <c r="U300" s="652"/>
      <c r="V300" s="652"/>
      <c r="W300" s="652"/>
      <c r="X300" s="652"/>
      <c r="Y300" s="652"/>
      <c r="Z300" s="652"/>
      <c r="AA300" s="652"/>
      <c r="AB300" s="652"/>
      <c r="AC300" s="652"/>
      <c r="AD300" s="652"/>
      <c r="AE300" s="652"/>
      <c r="AF300" s="652"/>
      <c r="AG300" s="652"/>
      <c r="AH300" s="652"/>
      <c r="AI300" s="652"/>
      <c r="AJ300" s="652"/>
      <c r="AK300" s="652"/>
      <c r="AL300" s="652"/>
      <c r="AM300" s="652"/>
    </row>
    <row r="301" spans="1:39" x14ac:dyDescent="0.2">
      <c r="A301" s="699">
        <v>2</v>
      </c>
      <c r="B301" s="700" t="str">
        <f t="shared" si="10"/>
        <v>Oksana Rõndenkova, Oleg Rõndenkov</v>
      </c>
      <c r="C301" s="701">
        <f t="shared" ref="C301:C313" si="11">IF(21-A301&gt;0,IF(OR(A301=A302,A300=A301),21-A301-0.5,21-A301),1)</f>
        <v>19</v>
      </c>
      <c r="D301" s="653"/>
      <c r="E301" s="653"/>
      <c r="F301" s="652">
        <v>4</v>
      </c>
      <c r="G301" s="652"/>
      <c r="H301" s="652"/>
      <c r="I301" s="652"/>
      <c r="J301" s="652"/>
      <c r="K301" s="652"/>
      <c r="L301" s="652"/>
      <c r="M301" s="652"/>
      <c r="N301" s="652"/>
      <c r="O301" s="652"/>
      <c r="P301" s="652"/>
      <c r="Q301" s="652"/>
      <c r="R301" s="652"/>
      <c r="S301" s="652"/>
      <c r="T301" s="652"/>
      <c r="U301" s="652"/>
      <c r="V301" s="652"/>
      <c r="W301" s="652"/>
      <c r="X301" s="652"/>
      <c r="Y301" s="652"/>
      <c r="Z301" s="652"/>
      <c r="AA301" s="652"/>
      <c r="AB301" s="652"/>
      <c r="AC301" s="652"/>
      <c r="AD301" s="652"/>
      <c r="AE301" s="652"/>
      <c r="AF301" s="652"/>
      <c r="AG301" s="652"/>
      <c r="AH301" s="652"/>
      <c r="AI301" s="652"/>
      <c r="AJ301" s="652"/>
      <c r="AK301" s="652"/>
      <c r="AL301" s="652"/>
      <c r="AM301" s="652"/>
    </row>
    <row r="302" spans="1:39" x14ac:dyDescent="0.2">
      <c r="A302" s="699">
        <v>3</v>
      </c>
      <c r="B302" s="700" t="str">
        <f t="shared" si="10"/>
        <v>Enn Tokman, Tarmo Bombe</v>
      </c>
      <c r="C302" s="701">
        <f t="shared" si="11"/>
        <v>18</v>
      </c>
      <c r="D302" s="653"/>
      <c r="E302" s="653"/>
      <c r="F302" s="652">
        <v>3.5</v>
      </c>
      <c r="G302" s="652"/>
      <c r="H302" s="652"/>
      <c r="I302" s="652"/>
      <c r="J302" s="652"/>
      <c r="K302" s="652"/>
      <c r="L302" s="652"/>
      <c r="M302" s="652"/>
      <c r="N302" s="652"/>
      <c r="O302" s="652"/>
      <c r="P302" s="652"/>
      <c r="Q302" s="652"/>
      <c r="R302" s="652"/>
      <c r="S302" s="652"/>
      <c r="T302" s="652"/>
      <c r="U302" s="652"/>
      <c r="V302" s="652"/>
      <c r="W302" s="652"/>
      <c r="X302" s="652"/>
      <c r="Y302" s="652"/>
      <c r="Z302" s="652"/>
      <c r="AA302" s="652"/>
      <c r="AB302" s="652"/>
      <c r="AC302" s="652"/>
      <c r="AD302" s="652"/>
      <c r="AE302" s="652"/>
      <c r="AF302" s="652"/>
      <c r="AG302" s="652"/>
      <c r="AH302" s="652"/>
      <c r="AI302" s="652"/>
      <c r="AJ302" s="652"/>
      <c r="AK302" s="652"/>
      <c r="AL302" s="652"/>
      <c r="AM302" s="652"/>
    </row>
    <row r="303" spans="1:39" x14ac:dyDescent="0.2">
      <c r="A303" s="699">
        <v>4</v>
      </c>
      <c r="B303" s="700" t="str">
        <f t="shared" si="10"/>
        <v>Kaspar Mänd, Mait Metsla</v>
      </c>
      <c r="C303" s="701">
        <f t="shared" si="11"/>
        <v>17</v>
      </c>
      <c r="D303" s="653"/>
      <c r="E303" s="653"/>
      <c r="F303" s="652">
        <v>3</v>
      </c>
      <c r="G303" s="652"/>
      <c r="H303" s="652"/>
      <c r="I303" s="652"/>
      <c r="J303" s="652"/>
      <c r="K303" s="652"/>
      <c r="L303" s="652"/>
      <c r="M303" s="652"/>
      <c r="N303" s="652"/>
      <c r="O303" s="652"/>
      <c r="P303" s="652"/>
      <c r="Q303" s="652"/>
      <c r="R303" s="652"/>
      <c r="S303" s="652"/>
      <c r="T303" s="652"/>
      <c r="U303" s="652"/>
      <c r="V303" s="652"/>
      <c r="W303" s="652"/>
      <c r="X303" s="652"/>
      <c r="Y303" s="652"/>
      <c r="Z303" s="652"/>
      <c r="AA303" s="652"/>
      <c r="AB303" s="652"/>
      <c r="AC303" s="652"/>
      <c r="AD303" s="652"/>
      <c r="AE303" s="652"/>
      <c r="AF303" s="652"/>
      <c r="AG303" s="652"/>
      <c r="AH303" s="652"/>
      <c r="AI303" s="652"/>
      <c r="AJ303" s="652"/>
      <c r="AK303" s="652"/>
      <c r="AL303" s="652"/>
      <c r="AM303" s="652"/>
    </row>
    <row r="304" spans="1:39" x14ac:dyDescent="0.2">
      <c r="A304" s="699">
        <v>5</v>
      </c>
      <c r="B304" s="700" t="str">
        <f t="shared" si="10"/>
        <v>Heili Vasser, Vello Vasser</v>
      </c>
      <c r="C304" s="701">
        <f t="shared" si="11"/>
        <v>16</v>
      </c>
      <c r="D304" s="653"/>
      <c r="E304" s="653"/>
      <c r="F304" s="652">
        <v>3</v>
      </c>
      <c r="G304" s="652"/>
      <c r="H304" s="652"/>
      <c r="I304" s="652"/>
    </row>
    <row r="305" spans="1:9" x14ac:dyDescent="0.2">
      <c r="A305" s="699">
        <v>6</v>
      </c>
      <c r="B305" s="700" t="str">
        <f t="shared" si="10"/>
        <v>Elmo Lageda, Tõnu Piik</v>
      </c>
      <c r="C305" s="701">
        <f t="shared" si="11"/>
        <v>15</v>
      </c>
      <c r="D305" s="653"/>
      <c r="E305" s="653"/>
      <c r="F305" s="652">
        <v>3</v>
      </c>
      <c r="G305" s="652"/>
      <c r="H305" s="652"/>
      <c r="I305" s="652"/>
    </row>
    <row r="306" spans="1:9" x14ac:dyDescent="0.2">
      <c r="A306" s="699">
        <v>7</v>
      </c>
      <c r="B306" s="700" t="str">
        <f t="shared" si="10"/>
        <v>Andres Veski, Svetlana Veski</v>
      </c>
      <c r="C306" s="701">
        <f t="shared" si="11"/>
        <v>14</v>
      </c>
      <c r="D306" s="653"/>
      <c r="E306" s="653"/>
      <c r="F306" s="652">
        <v>3</v>
      </c>
      <c r="G306" s="652"/>
      <c r="H306" s="652"/>
      <c r="I306" s="652"/>
    </row>
    <row r="307" spans="1:9" x14ac:dyDescent="0.2">
      <c r="A307" s="699">
        <v>8</v>
      </c>
      <c r="B307" s="700" t="str">
        <f t="shared" si="10"/>
        <v>Karla Purgats, Lemmit Toomra</v>
      </c>
      <c r="C307" s="701">
        <f t="shared" si="11"/>
        <v>13</v>
      </c>
      <c r="D307" s="653"/>
      <c r="E307" s="653"/>
      <c r="F307" s="652">
        <v>2.5</v>
      </c>
      <c r="G307" s="652"/>
      <c r="H307" s="652"/>
      <c r="I307" s="652"/>
    </row>
    <row r="308" spans="1:9" x14ac:dyDescent="0.2">
      <c r="A308" s="699">
        <v>9</v>
      </c>
      <c r="B308" s="700" t="str">
        <f t="shared" si="10"/>
        <v>Johannes Neiland, Melika Lehtla</v>
      </c>
      <c r="C308" s="701">
        <f t="shared" si="11"/>
        <v>12</v>
      </c>
      <c r="D308" s="653"/>
      <c r="E308" s="653"/>
      <c r="F308" s="652">
        <v>2</v>
      </c>
      <c r="G308" s="652"/>
      <c r="H308" s="652"/>
      <c r="I308" s="652"/>
    </row>
    <row r="309" spans="1:9" x14ac:dyDescent="0.2">
      <c r="A309" s="699">
        <v>10</v>
      </c>
      <c r="B309" s="700" t="str">
        <f t="shared" si="10"/>
        <v>Daniil Alekankin, Emil Murzajev</v>
      </c>
      <c r="C309" s="701">
        <f t="shared" si="11"/>
        <v>11</v>
      </c>
      <c r="D309" s="653"/>
      <c r="E309" s="653"/>
      <c r="F309" s="652">
        <v>2</v>
      </c>
      <c r="G309" s="652"/>
      <c r="H309" s="652"/>
      <c r="I309" s="652"/>
    </row>
    <row r="310" spans="1:9" x14ac:dyDescent="0.2">
      <c r="A310" s="699">
        <v>11</v>
      </c>
      <c r="B310" s="700" t="str">
        <f t="shared" si="10"/>
        <v>Liidia Põllu, Vladimir Ogneštšikov</v>
      </c>
      <c r="C310" s="701">
        <f t="shared" si="11"/>
        <v>10</v>
      </c>
      <c r="D310" s="652"/>
      <c r="E310" s="652"/>
      <c r="F310" s="652">
        <v>2</v>
      </c>
      <c r="G310" s="652"/>
      <c r="H310" s="652"/>
      <c r="I310" s="652"/>
    </row>
    <row r="311" spans="1:9" x14ac:dyDescent="0.2">
      <c r="A311" s="699">
        <v>12</v>
      </c>
      <c r="B311" s="700" t="str">
        <f t="shared" si="10"/>
        <v>Andrei Grintšak, Boriss Klubov</v>
      </c>
      <c r="C311" s="701">
        <f t="shared" si="11"/>
        <v>9</v>
      </c>
      <c r="D311" s="652"/>
      <c r="E311" s="652"/>
      <c r="F311" s="652">
        <v>1.5</v>
      </c>
      <c r="G311" s="652"/>
      <c r="H311" s="652"/>
      <c r="I311" s="652"/>
    </row>
    <row r="312" spans="1:9" x14ac:dyDescent="0.2">
      <c r="A312" s="699">
        <v>13</v>
      </c>
      <c r="B312" s="700" t="str">
        <f t="shared" si="10"/>
        <v>Meelis Luud, Sander Rose</v>
      </c>
      <c r="C312" s="701">
        <f t="shared" si="11"/>
        <v>8</v>
      </c>
      <c r="D312" s="652"/>
      <c r="E312" s="652"/>
      <c r="F312" s="652">
        <v>1</v>
      </c>
      <c r="G312" s="652"/>
      <c r="H312" s="652"/>
      <c r="I312" s="652"/>
    </row>
    <row r="313" spans="1:9" x14ac:dyDescent="0.2">
      <c r="A313" s="699">
        <v>14</v>
      </c>
      <c r="B313" s="700" t="str">
        <f t="shared" si="10"/>
        <v>Henri Mitt, Urmas Randlaine</v>
      </c>
      <c r="C313" s="701">
        <f t="shared" si="11"/>
        <v>7</v>
      </c>
      <c r="F313">
        <v>1</v>
      </c>
    </row>
    <row r="314" spans="1:9" x14ac:dyDescent="0.2">
      <c r="A314" s="699">
        <v>15</v>
      </c>
      <c r="B314" s="700" t="str">
        <f t="shared" si="10"/>
        <v>Illar Tõnurist, Vilmar Ostumaa</v>
      </c>
      <c r="C314" s="701">
        <v>0</v>
      </c>
      <c r="G314" t="s">
        <v>417</v>
      </c>
    </row>
  </sheetData>
  <conditionalFormatting sqref="C8:C22">
    <cfRule type="expression" dxfId="397" priority="18">
      <formula>IF($C8&gt;$E8,TRUE)</formula>
    </cfRule>
  </conditionalFormatting>
  <conditionalFormatting sqref="E8:E22">
    <cfRule type="expression" dxfId="396" priority="19">
      <formula>IF($C8&lt;$E8,TRUE)</formula>
    </cfRule>
  </conditionalFormatting>
  <conditionalFormatting sqref="K8:K22">
    <cfRule type="expression" dxfId="395" priority="26">
      <formula>IF($K8&gt;$M8,TRUE)</formula>
    </cfRule>
  </conditionalFormatting>
  <conditionalFormatting sqref="M8:M22">
    <cfRule type="expression" dxfId="394" priority="27">
      <formula>IF($K8&lt;$M8,TRUE)</formula>
    </cfRule>
  </conditionalFormatting>
  <conditionalFormatting sqref="O8:O22">
    <cfRule type="expression" dxfId="393" priority="30">
      <formula>IF($O8&gt;$Q8,TRUE)</formula>
    </cfRule>
  </conditionalFormatting>
  <conditionalFormatting sqref="Q8:Q22">
    <cfRule type="expression" dxfId="392" priority="31">
      <formula>IF($O8&lt;$Q8,TRUE)</formula>
    </cfRule>
  </conditionalFormatting>
  <conditionalFormatting sqref="S8:S22">
    <cfRule type="expression" dxfId="391" priority="34">
      <formula>IF($S8&gt;$U8,TRUE)</formula>
    </cfRule>
  </conditionalFormatting>
  <conditionalFormatting sqref="U8:U22">
    <cfRule type="expression" dxfId="390" priority="35">
      <formula>IF($S8&lt;$U8,TRUE)</formula>
    </cfRule>
  </conditionalFormatting>
  <conditionalFormatting sqref="G8:G22">
    <cfRule type="expression" dxfId="389" priority="22">
      <formula>IF($G8&gt;$I8,TRUE)</formula>
    </cfRule>
  </conditionalFormatting>
  <conditionalFormatting sqref="I8:I22">
    <cfRule type="expression" dxfId="388" priority="23">
      <formula>IF($G8&lt;$I8,TRUE)</formula>
    </cfRule>
  </conditionalFormatting>
  <conditionalFormatting sqref="F8:F22">
    <cfRule type="containsText" dxfId="387" priority="9" operator="containsText" text="vaba voor">
      <formula>NOT(ISERROR(SEARCH("vaba voor",F8)))</formula>
    </cfRule>
  </conditionalFormatting>
  <conditionalFormatting sqref="N8:N22">
    <cfRule type="containsText" dxfId="386" priority="7" operator="containsText" text="vaba voor">
      <formula>NOT(ISERROR(SEARCH("vaba voor",N8)))</formula>
    </cfRule>
  </conditionalFormatting>
  <conditionalFormatting sqref="R8:R22">
    <cfRule type="containsText" dxfId="385" priority="10" operator="containsText" text="vaba voor">
      <formula>NOT(ISERROR(SEARCH("vaba voor",R8)))</formula>
    </cfRule>
  </conditionalFormatting>
  <conditionalFormatting sqref="V8:V22">
    <cfRule type="containsText" dxfId="384" priority="6" operator="containsText" text="vaba voor">
      <formula>NOT(ISERROR(SEARCH("vaba voor",V8)))</formula>
    </cfRule>
  </conditionalFormatting>
  <conditionalFormatting sqref="J8:J22">
    <cfRule type="containsText" dxfId="383" priority="8" operator="containsText" text="vaba voor">
      <formula>NOT(ISERROR(SEARCH("vaba voor",J8)))</formula>
    </cfRule>
  </conditionalFormatting>
  <conditionalFormatting sqref="C8:F22">
    <cfRule type="expression" dxfId="382" priority="14">
      <formula>IF(AND(ISNUMBER($C8),$C8=$E8),TRUE)</formula>
    </cfRule>
    <cfRule type="expression" dxfId="381" priority="16">
      <formula>IF($C8&gt;$E8,TRUE)</formula>
    </cfRule>
    <cfRule type="expression" dxfId="380" priority="17">
      <formula>IF($C8&lt;$E8,TRUE)</formula>
    </cfRule>
  </conditionalFormatting>
  <conditionalFormatting sqref="G8:J22">
    <cfRule type="expression" dxfId="379" priority="15">
      <formula>IF(AND(ISNUMBER($G8),$G8=$I8),TRUE)</formula>
    </cfRule>
    <cfRule type="expression" dxfId="378" priority="20">
      <formula>IF($G8&gt;$I8,TRUE)</formula>
    </cfRule>
    <cfRule type="expression" dxfId="377" priority="21">
      <formula>IF($G8&lt;$I8,TRUE)</formula>
    </cfRule>
  </conditionalFormatting>
  <conditionalFormatting sqref="K8:N22">
    <cfRule type="expression" dxfId="376" priority="13">
      <formula>IF(AND(ISNUMBER($K8),$K8=$M8),TRUE)</formula>
    </cfRule>
    <cfRule type="expression" dxfId="375" priority="24">
      <formula>IF($K8&gt;$M8,TRUE)</formula>
    </cfRule>
    <cfRule type="expression" dxfId="374" priority="25">
      <formula>IF($K8&lt;$M8,TRUE)</formula>
    </cfRule>
  </conditionalFormatting>
  <conditionalFormatting sqref="O8:R22">
    <cfRule type="expression" dxfId="373" priority="12">
      <formula>IF(AND(ISNUMBER($O8),$O8=$Q8),TRUE)</formula>
    </cfRule>
    <cfRule type="expression" dxfId="372" priority="28">
      <formula>IF($O8&gt;$Q8,TRUE)</formula>
    </cfRule>
    <cfRule type="expression" dxfId="371" priority="29">
      <formula>IF($O8&lt;$Q8,TRUE)</formula>
    </cfRule>
  </conditionalFormatting>
  <conditionalFormatting sqref="S8:V22">
    <cfRule type="expression" dxfId="370" priority="11">
      <formula>IF(AND(ISNUMBER($S8),$S8=$U8),TRUE)</formula>
    </cfRule>
    <cfRule type="expression" dxfId="369" priority="32">
      <formula>IF($S8&gt;$U8,TRUE)</formula>
    </cfRule>
    <cfRule type="expression" dxfId="368" priority="33">
      <formula>IF($S8&lt;$U8,TRUE)</formula>
    </cfRule>
  </conditionalFormatting>
  <conditionalFormatting sqref="C8:C22 G8:G22 K8:K22 O8:O22 S8:S22">
    <cfRule type="expression" dxfId="367" priority="4">
      <formula>AND(C8=0,E8=13)</formula>
    </cfRule>
  </conditionalFormatting>
  <conditionalFormatting sqref="E8:E22 I8:I22 M8:M22 Q8:Q22 U8:U22">
    <cfRule type="expression" dxfId="366" priority="5">
      <formula>AND(E8=0,C8=13)</formula>
    </cfRule>
  </conditionalFormatting>
  <conditionalFormatting sqref="AF8:AF22 AJ8:AJ22 AL8:AL22">
    <cfRule type="expression" dxfId="365" priority="1">
      <formula>AND(AE8="",COUNTIF(AF8,"*,*")=0)</formula>
    </cfRule>
  </conditionalFormatting>
  <conditionalFormatting sqref="AH8:AH22">
    <cfRule type="expression" dxfId="364" priority="2">
      <formula>AND(AG8="",FIND(",",AH8))</formula>
    </cfRule>
    <cfRule type="expression" dxfId="363" priority="3">
      <formula>AND(AG8="",COUNTIF(AH8,"*,*")=0)</formula>
    </cfRule>
  </conditionalFormatting>
  <conditionalFormatting sqref="A300:A314">
    <cfRule type="duplicateValues" dxfId="362" priority="88"/>
  </conditionalFormatting>
  <conditionalFormatting sqref="A8:A22">
    <cfRule type="duplicateValues" dxfId="361" priority="129"/>
  </conditionalFormatting>
  <conditionalFormatting sqref="B300:B314">
    <cfRule type="expression" dxfId="360" priority="159">
      <formula>A300=3</formula>
    </cfRule>
    <cfRule type="expression" dxfId="359" priority="160">
      <formula>A300=2</formula>
    </cfRule>
    <cfRule type="expression" dxfId="358" priority="161">
      <formula>A300=1</formula>
    </cfRule>
    <cfRule type="containsBlanks" dxfId="357" priority="162">
      <formula>LEN(TRIM(B300))=0</formula>
    </cfRule>
    <cfRule type="duplicateValues" dxfId="356" priority="163"/>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M313"/>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33.28515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8.28515625" hidden="1" customWidth="1"/>
    <col min="33" max="33" width="9.140625" hidden="1" customWidth="1"/>
    <col min="34" max="34" width="18.7109375" hidden="1" customWidth="1"/>
    <col min="35" max="35" width="9.140625" hidden="1" customWidth="1"/>
    <col min="36" max="36" width="17.28515625" hidden="1" customWidth="1"/>
    <col min="37" max="37" width="9.140625" hidden="1" customWidth="1"/>
    <col min="38" max="38" width="13.85546875" hidden="1" customWidth="1"/>
  </cols>
  <sheetData>
    <row r="1" spans="1:39" x14ac:dyDescent="0.2">
      <c r="A1" s="742" t="str">
        <f>UPPER((Kalend!E30)&amp;" - "&amp;(Kalend!C30)&amp;" - "&amp;(Kalend!D30))</f>
        <v>V6 - VOKA 6. KV 6. ETAPP - DUO</v>
      </c>
      <c r="B1" s="652"/>
      <c r="C1" s="653"/>
      <c r="D1" s="652"/>
      <c r="E1" s="652"/>
      <c r="F1" s="410" t="str">
        <f>HYPERLINK("#Kalend!I1","Kalender")</f>
        <v>Kalender</v>
      </c>
      <c r="G1" s="410"/>
      <c r="H1" s="410"/>
      <c r="I1" s="410"/>
      <c r="J1" s="654" t="str">
        <f>HYPERLINK("#V!AB1","Reiting")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tr">
        <f>"Toimumisaeg: "&amp;(Kalend!A30)&amp;" kell "&amp;(Kalend!B30)</f>
        <v>Toimumisaeg: K, 24.07.2019 kell 18:00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2"/>
      <c r="AE2" s="652"/>
      <c r="AF2" s="652"/>
      <c r="AG2" s="652"/>
      <c r="AH2" s="652"/>
      <c r="AI2" s="652"/>
      <c r="AJ2" s="652"/>
      <c r="AK2" s="652"/>
      <c r="AL2" s="652"/>
      <c r="AM2" s="652"/>
    </row>
    <row r="3" spans="1:39" x14ac:dyDescent="0.2">
      <c r="A3" s="659" t="str">
        <f>"Toimumiskoht: "&amp;(Kalend!F30)</f>
        <v>Toimumiskoht: Voka staadion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tr">
        <f>"Korraldaja: "&amp;(Kalend!G30)</f>
        <v>Korraldaja: Johannes Neiland</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x14ac:dyDescent="0.2">
      <c r="A8" s="685">
        <v>1</v>
      </c>
      <c r="B8" s="686" t="s">
        <v>410</v>
      </c>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708">
        <f t="shared" ref="AD8" si="0">SUM(AE8:AL8)</f>
        <v>222</v>
      </c>
      <c r="AE8" s="709">
        <f>IFERROR(INDEX(V!R$7:R$62,MATCH(AF8,V!L$7:L$62,0)),"")</f>
        <v>74</v>
      </c>
      <c r="AF8" s="710" t="str">
        <f t="shared" ref="AF8:AF21" si="1">IFERROR(LEFT(B8,(FIND(",",B8,1)-1)),"")</f>
        <v>Ivar Viljaste</v>
      </c>
      <c r="AG8" s="709">
        <f>IFERROR(INDEX(V!R$7:R$62,MATCH(AH8,V!L$7:L$62,0)),"")</f>
        <v>148</v>
      </c>
      <c r="AH8" s="710" t="str">
        <f t="shared" ref="AH8:AH21" si="2">IFERROR(MID(B8,FIND(", ",B8)+2,256),"")</f>
        <v>Matti Vinni</v>
      </c>
      <c r="AI8" s="709" t="str">
        <f>IFERROR(INDEX(V!R$7:R$62,MATCH(AJ8,V!L$7:L$62,0)),"")</f>
        <v/>
      </c>
      <c r="AJ8" s="710" t="str">
        <f t="shared" ref="AJ8:AJ21" si="3">IFERROR(MID(B8,FIND("^",SUBSTITUTE(B8,", ","^",1))+2,FIND("^",SUBSTITUTE(B8,", ","^",2))-FIND("^",SUBSTITUTE(B8,", ","^",1))-2),"")</f>
        <v/>
      </c>
      <c r="AK8" s="709" t="str">
        <f>IFERROR(INDEX(V!R$7:R$62,MATCH(AL8,V!L$7:L$62,0)),"")</f>
        <v/>
      </c>
      <c r="AL8" s="710" t="str">
        <f t="shared" ref="AL8:AL21" si="4">IFERROR(MID(B8,FIND(", ",B8,FIND(", ",B8,FIND(", ",B8))+1)+2,700),"")</f>
        <v/>
      </c>
      <c r="AM8" s="652"/>
    </row>
    <row r="9" spans="1:39" x14ac:dyDescent="0.2">
      <c r="A9" s="685">
        <v>2</v>
      </c>
      <c r="B9" s="686" t="s">
        <v>391</v>
      </c>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21" si="5">IF(C9&gt;E9,J$3,IF(C9&lt;E9,J$5,IF(ISNUMBER(C9),J$4,0)))+IF(G9&gt;I9,J$3,IF(G9&lt;I9,J$5,IF(ISNUMBER(G9),J$4,0)))+IF(K9&gt;M9,J$3,IF(K9&lt;M9,J$5,IF(ISNUMBER(K9),J$4,0)))+IF(O9&gt;Q9,J$3,IF(O9&lt;Q9,J$5,IF(ISNUMBER(O9),J$4,0)))+IF(S9&gt;U9,J$3,IF(S9&lt;U9,J$5,IF(ISNUMBER(S9),J$4,0)))</f>
        <v>0</v>
      </c>
      <c r="X9" s="692"/>
      <c r="Y9" s="687">
        <f t="shared" ref="Y9:Y21" si="6">C9+G9+K9+O9+S9</f>
        <v>0</v>
      </c>
      <c r="Z9" s="688" t="s">
        <v>377</v>
      </c>
      <c r="AA9" s="693">
        <f t="shared" ref="AA9:AA21" si="7">E9+I9+M9+Q9+U9</f>
        <v>0</v>
      </c>
      <c r="AB9" s="694">
        <f t="shared" ref="AB9:AB21" si="8">Y9-AA9</f>
        <v>0</v>
      </c>
      <c r="AC9" s="695"/>
      <c r="AD9" s="708">
        <f t="shared" ref="AD9:AD21" si="9">SUM(AE9:AL9)</f>
        <v>334</v>
      </c>
      <c r="AE9" s="709">
        <f>IFERROR(INDEX(V!R$7:R$62,MATCH(AF9,V!L$7:L$62,0)),"")</f>
        <v>165</v>
      </c>
      <c r="AF9" s="710" t="str">
        <f t="shared" si="1"/>
        <v>Oksana Rõndenkova</v>
      </c>
      <c r="AG9" s="709">
        <f>IFERROR(INDEX(V!R$7:R$62,MATCH(AH9,V!L$7:L$62,0)),"")</f>
        <v>169</v>
      </c>
      <c r="AH9" s="710" t="str">
        <f t="shared" si="2"/>
        <v>Oleg Rõndenkov</v>
      </c>
      <c r="AI9" s="709" t="str">
        <f>IFERROR(INDEX(V!R$7:R$62,MATCH(AJ9,V!L$7:L$62,0)),"")</f>
        <v/>
      </c>
      <c r="AJ9" s="710" t="str">
        <f t="shared" si="3"/>
        <v/>
      </c>
      <c r="AK9" s="709" t="str">
        <f>IFERROR(INDEX(V!R$7:R$62,MATCH(AL9,V!L$7:L$62,0)),"")</f>
        <v/>
      </c>
      <c r="AL9" s="710" t="str">
        <f t="shared" si="4"/>
        <v/>
      </c>
      <c r="AM9" s="652"/>
    </row>
    <row r="10" spans="1:39" x14ac:dyDescent="0.2">
      <c r="A10" s="685">
        <v>3</v>
      </c>
      <c r="B10" s="686" t="s">
        <v>387</v>
      </c>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5"/>
        <v>0</v>
      </c>
      <c r="X10" s="692"/>
      <c r="Y10" s="687">
        <f t="shared" si="6"/>
        <v>0</v>
      </c>
      <c r="Z10" s="688" t="s">
        <v>377</v>
      </c>
      <c r="AA10" s="693">
        <f t="shared" si="7"/>
        <v>0</v>
      </c>
      <c r="AB10" s="694">
        <f t="shared" si="8"/>
        <v>0</v>
      </c>
      <c r="AC10" s="695"/>
      <c r="AD10" s="708">
        <f t="shared" si="9"/>
        <v>220</v>
      </c>
      <c r="AE10" s="709">
        <f>IFERROR(INDEX(V!R$7:R$62,MATCH(AF10,V!L$7:L$62,0)),"")</f>
        <v>102</v>
      </c>
      <c r="AF10" s="710" t="str">
        <f t="shared" si="1"/>
        <v>Enn Tokman</v>
      </c>
      <c r="AG10" s="709">
        <f>IFERROR(INDEX(V!R$7:R$62,MATCH(AH10,V!L$7:L$62,0)),"")</f>
        <v>118</v>
      </c>
      <c r="AH10" s="710" t="str">
        <f t="shared" si="2"/>
        <v>Tarmo Bombe</v>
      </c>
      <c r="AI10" s="709" t="str">
        <f>IFERROR(INDEX(V!R$7:R$62,MATCH(AJ10,V!L$7:L$62,0)),"")</f>
        <v/>
      </c>
      <c r="AJ10" s="710" t="str">
        <f t="shared" si="3"/>
        <v/>
      </c>
      <c r="AK10" s="709" t="str">
        <f>IFERROR(INDEX(V!R$7:R$62,MATCH(AL10,V!L$7:L$62,0)),"")</f>
        <v/>
      </c>
      <c r="AL10" s="710" t="str">
        <f t="shared" si="4"/>
        <v/>
      </c>
      <c r="AM10" s="652"/>
    </row>
    <row r="11" spans="1:39" x14ac:dyDescent="0.2">
      <c r="A11" s="685">
        <v>4</v>
      </c>
      <c r="B11" s="686" t="s">
        <v>383</v>
      </c>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5"/>
        <v>0</v>
      </c>
      <c r="X11" s="692"/>
      <c r="Y11" s="687">
        <f t="shared" si="6"/>
        <v>0</v>
      </c>
      <c r="Z11" s="688" t="s">
        <v>377</v>
      </c>
      <c r="AA11" s="693">
        <f t="shared" si="7"/>
        <v>0</v>
      </c>
      <c r="AB11" s="694">
        <f t="shared" si="8"/>
        <v>0</v>
      </c>
      <c r="AC11" s="695"/>
      <c r="AD11" s="708">
        <f t="shared" si="9"/>
        <v>284</v>
      </c>
      <c r="AE11" s="709">
        <f>IFERROR(INDEX(V!R$7:R$62,MATCH(AF11,V!L$7:L$62,0)),"")</f>
        <v>142</v>
      </c>
      <c r="AF11" s="710" t="str">
        <f t="shared" si="1"/>
        <v>Elmo Lageda</v>
      </c>
      <c r="AG11" s="709">
        <f>IFERROR(INDEX(V!R$7:R$62,MATCH(AH11,V!L$7:L$62,0)),"")</f>
        <v>142</v>
      </c>
      <c r="AH11" s="710" t="str">
        <f t="shared" si="2"/>
        <v>Tõnu Piik</v>
      </c>
      <c r="AI11" s="709" t="str">
        <f>IFERROR(INDEX(V!R$7:R$62,MATCH(AJ11,V!L$7:L$62,0)),"")</f>
        <v/>
      </c>
      <c r="AJ11" s="710" t="str">
        <f t="shared" si="3"/>
        <v/>
      </c>
      <c r="AK11" s="709" t="str">
        <f>IFERROR(INDEX(V!R$7:R$62,MATCH(AL11,V!L$7:L$62,0)),"")</f>
        <v/>
      </c>
      <c r="AL11" s="710" t="str">
        <f t="shared" si="4"/>
        <v/>
      </c>
      <c r="AM11" s="652"/>
    </row>
    <row r="12" spans="1:39" x14ac:dyDescent="0.2">
      <c r="A12" s="685">
        <v>5</v>
      </c>
      <c r="B12" s="686" t="s">
        <v>396</v>
      </c>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5"/>
        <v>0</v>
      </c>
      <c r="X12" s="692"/>
      <c r="Y12" s="687">
        <f t="shared" si="6"/>
        <v>0</v>
      </c>
      <c r="Z12" s="688" t="s">
        <v>377</v>
      </c>
      <c r="AA12" s="693">
        <f t="shared" si="7"/>
        <v>0</v>
      </c>
      <c r="AB12" s="694">
        <f t="shared" si="8"/>
        <v>0</v>
      </c>
      <c r="AC12" s="695"/>
      <c r="AD12" s="708">
        <f t="shared" si="9"/>
        <v>112</v>
      </c>
      <c r="AE12" s="709">
        <f>IFERROR(INDEX(V!R$7:R$62,MATCH(AF12,V!L$7:L$62,0)),"")</f>
        <v>66</v>
      </c>
      <c r="AF12" s="710" t="str">
        <f t="shared" si="1"/>
        <v>Jaan Sepp</v>
      </c>
      <c r="AG12" s="709">
        <f>IFERROR(INDEX(V!R$7:R$62,MATCH(AH12,V!L$7:L$62,0)),"")</f>
        <v>46</v>
      </c>
      <c r="AH12" s="710" t="str">
        <f t="shared" si="2"/>
        <v>Oskar Sepp</v>
      </c>
      <c r="AI12" s="709" t="str">
        <f>IFERROR(INDEX(V!R$7:R$62,MATCH(AJ12,V!L$7:L$62,0)),"")</f>
        <v/>
      </c>
      <c r="AJ12" s="710" t="str">
        <f t="shared" si="3"/>
        <v/>
      </c>
      <c r="AK12" s="709" t="str">
        <f>IFERROR(INDEX(V!R$7:R$62,MATCH(AL12,V!L$7:L$62,0)),"")</f>
        <v/>
      </c>
      <c r="AL12" s="710" t="str">
        <f t="shared" si="4"/>
        <v/>
      </c>
      <c r="AM12" s="652"/>
    </row>
    <row r="13" spans="1:39" x14ac:dyDescent="0.2">
      <c r="A13" s="685">
        <v>6</v>
      </c>
      <c r="B13" s="686" t="s">
        <v>404</v>
      </c>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5"/>
        <v>0</v>
      </c>
      <c r="X13" s="692"/>
      <c r="Y13" s="687">
        <f t="shared" si="6"/>
        <v>0</v>
      </c>
      <c r="Z13" s="688" t="s">
        <v>377</v>
      </c>
      <c r="AA13" s="693">
        <f t="shared" si="7"/>
        <v>0</v>
      </c>
      <c r="AB13" s="694">
        <f t="shared" si="8"/>
        <v>0</v>
      </c>
      <c r="AC13" s="695"/>
      <c r="AD13" s="708">
        <f t="shared" si="9"/>
        <v>235</v>
      </c>
      <c r="AE13" s="709">
        <f>IFERROR(INDEX(V!R$7:R$62,MATCH(AF13,V!L$7:L$62,0)),"")</f>
        <v>125</v>
      </c>
      <c r="AF13" s="710" t="str">
        <f t="shared" si="1"/>
        <v>Karla Purgats</v>
      </c>
      <c r="AG13" s="709">
        <f>IFERROR(INDEX(V!R$7:R$62,MATCH(AH13,V!L$7:L$62,0)),"")</f>
        <v>110</v>
      </c>
      <c r="AH13" s="710" t="str">
        <f t="shared" si="2"/>
        <v>Lemmit Toomra</v>
      </c>
      <c r="AI13" s="709" t="str">
        <f>IFERROR(INDEX(V!R$7:R$62,MATCH(AJ13,V!L$7:L$62,0)),"")</f>
        <v/>
      </c>
      <c r="AJ13" s="710" t="str">
        <f t="shared" si="3"/>
        <v/>
      </c>
      <c r="AK13" s="709" t="str">
        <f>IFERROR(INDEX(V!R$7:R$62,MATCH(AL13,V!L$7:L$62,0)),"")</f>
        <v/>
      </c>
      <c r="AL13" s="710" t="str">
        <f t="shared" si="4"/>
        <v/>
      </c>
      <c r="AM13" s="652"/>
    </row>
    <row r="14" spans="1:39" x14ac:dyDescent="0.2">
      <c r="A14" s="685">
        <v>7</v>
      </c>
      <c r="B14" s="696" t="s">
        <v>418</v>
      </c>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5"/>
        <v>0</v>
      </c>
      <c r="X14" s="692"/>
      <c r="Y14" s="687">
        <f t="shared" si="6"/>
        <v>0</v>
      </c>
      <c r="Z14" s="688" t="s">
        <v>377</v>
      </c>
      <c r="AA14" s="693">
        <f t="shared" si="7"/>
        <v>0</v>
      </c>
      <c r="AB14" s="694">
        <f t="shared" si="8"/>
        <v>0</v>
      </c>
      <c r="AC14" s="695"/>
      <c r="AD14" s="708">
        <f t="shared" si="9"/>
        <v>236</v>
      </c>
      <c r="AE14" s="709">
        <f>IFERROR(INDEX(V!R$7:R$62,MATCH(AF14,V!L$7:L$62,0)),"")</f>
        <v>135</v>
      </c>
      <c r="AF14" s="710" t="str">
        <f t="shared" si="1"/>
        <v>Kenneth Muusikus</v>
      </c>
      <c r="AG14" s="709">
        <f>IFERROR(INDEX(V!R$7:R$62,MATCH(AH14,V!L$7:L$62,0)),"")</f>
        <v>101</v>
      </c>
      <c r="AH14" s="710" t="str">
        <f t="shared" si="2"/>
        <v>Mait Metsla</v>
      </c>
      <c r="AI14" s="709" t="str">
        <f>IFERROR(INDEX(V!R$7:R$62,MATCH(AJ14,V!L$7:L$62,0)),"")</f>
        <v/>
      </c>
      <c r="AJ14" s="710" t="str">
        <f t="shared" si="3"/>
        <v/>
      </c>
      <c r="AK14" s="709" t="str">
        <f>IFERROR(INDEX(V!R$7:R$62,MATCH(AL14,V!L$7:L$62,0)),"")</f>
        <v/>
      </c>
      <c r="AL14" s="710" t="str">
        <f t="shared" si="4"/>
        <v/>
      </c>
      <c r="AM14" s="652"/>
    </row>
    <row r="15" spans="1:39" x14ac:dyDescent="0.2">
      <c r="A15" s="685">
        <v>8</v>
      </c>
      <c r="B15" s="696" t="s">
        <v>385</v>
      </c>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5"/>
        <v>0</v>
      </c>
      <c r="X15" s="692"/>
      <c r="Y15" s="687">
        <f t="shared" si="6"/>
        <v>0</v>
      </c>
      <c r="Z15" s="688" t="s">
        <v>377</v>
      </c>
      <c r="AA15" s="693">
        <f t="shared" si="7"/>
        <v>0</v>
      </c>
      <c r="AB15" s="694">
        <f t="shared" si="8"/>
        <v>0</v>
      </c>
      <c r="AC15" s="695"/>
      <c r="AD15" s="708">
        <f t="shared" si="9"/>
        <v>108</v>
      </c>
      <c r="AE15" s="709">
        <f>IFERROR(INDEX(V!R$7:R$62,MATCH(AF15,V!L$7:L$62,0)),"")</f>
        <v>54</v>
      </c>
      <c r="AF15" s="710" t="str">
        <f t="shared" si="1"/>
        <v>Meelis Luud</v>
      </c>
      <c r="AG15" s="709">
        <f>IFERROR(INDEX(V!R$7:R$62,MATCH(AH15,V!L$7:L$62,0)),"")</f>
        <v>54</v>
      </c>
      <c r="AH15" s="710" t="str">
        <f t="shared" si="2"/>
        <v>Sander Rose</v>
      </c>
      <c r="AI15" s="709" t="str">
        <f>IFERROR(INDEX(V!R$7:R$62,MATCH(AJ15,V!L$7:L$62,0)),"")</f>
        <v/>
      </c>
      <c r="AJ15" s="710" t="str">
        <f t="shared" si="3"/>
        <v/>
      </c>
      <c r="AK15" s="709" t="str">
        <f>IFERROR(INDEX(V!R$7:R$62,MATCH(AL15,V!L$7:L$62,0)),"")</f>
        <v/>
      </c>
      <c r="AL15" s="710" t="str">
        <f t="shared" si="4"/>
        <v/>
      </c>
      <c r="AM15" s="652"/>
    </row>
    <row r="16" spans="1:39" x14ac:dyDescent="0.2">
      <c r="A16" s="685">
        <v>9</v>
      </c>
      <c r="B16" s="686" t="s">
        <v>393</v>
      </c>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5"/>
        <v>0</v>
      </c>
      <c r="X16" s="692"/>
      <c r="Y16" s="687">
        <f t="shared" si="6"/>
        <v>0</v>
      </c>
      <c r="Z16" s="688" t="s">
        <v>377</v>
      </c>
      <c r="AA16" s="693">
        <f t="shared" si="7"/>
        <v>0</v>
      </c>
      <c r="AB16" s="694">
        <f t="shared" si="8"/>
        <v>0</v>
      </c>
      <c r="AC16" s="695"/>
      <c r="AD16" s="708">
        <f t="shared" si="9"/>
        <v>216</v>
      </c>
      <c r="AE16" s="709">
        <f>IFERROR(INDEX(V!R$7:R$62,MATCH(AF16,V!L$7:L$62,0)),"")</f>
        <v>113</v>
      </c>
      <c r="AF16" s="710" t="str">
        <f t="shared" si="1"/>
        <v>Andrei Grintšak</v>
      </c>
      <c r="AG16" s="709">
        <f>IFERROR(INDEX(V!R$7:R$62,MATCH(AH16,V!L$7:L$62,0)),"")</f>
        <v>103</v>
      </c>
      <c r="AH16" s="710" t="str">
        <f t="shared" si="2"/>
        <v>Boriss Klubov</v>
      </c>
      <c r="AI16" s="709" t="str">
        <f>IFERROR(INDEX(V!R$7:R$62,MATCH(AJ16,V!L$7:L$62,0)),"")</f>
        <v/>
      </c>
      <c r="AJ16" s="710" t="str">
        <f t="shared" si="3"/>
        <v/>
      </c>
      <c r="AK16" s="709" t="str">
        <f>IFERROR(INDEX(V!R$7:R$62,MATCH(AL16,V!L$7:L$62,0)),"")</f>
        <v/>
      </c>
      <c r="AL16" s="710" t="str">
        <f t="shared" si="4"/>
        <v/>
      </c>
      <c r="AM16" s="652"/>
    </row>
    <row r="17" spans="1:39" x14ac:dyDescent="0.2">
      <c r="A17" s="685">
        <v>10</v>
      </c>
      <c r="B17" s="686" t="s">
        <v>419</v>
      </c>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5"/>
        <v>0</v>
      </c>
      <c r="X17" s="692"/>
      <c r="Y17" s="687">
        <f t="shared" si="6"/>
        <v>0</v>
      </c>
      <c r="Z17" s="688" t="s">
        <v>377</v>
      </c>
      <c r="AA17" s="693">
        <f t="shared" si="7"/>
        <v>0</v>
      </c>
      <c r="AB17" s="694">
        <f t="shared" si="8"/>
        <v>0</v>
      </c>
      <c r="AC17" s="695"/>
      <c r="AD17" s="708">
        <f t="shared" si="9"/>
        <v>195</v>
      </c>
      <c r="AE17" s="709">
        <f>IFERROR(INDEX(V!R$7:R$62,MATCH(AF17,V!L$7:L$62,0)),"")</f>
        <v>82</v>
      </c>
      <c r="AF17" s="710" t="str">
        <f t="shared" si="1"/>
        <v>Andres Veski</v>
      </c>
      <c r="AG17" s="709">
        <f>IFERROR(INDEX(V!R$7:R$62,MATCH(AH17,V!L$7:L$62,0)),"")</f>
        <v>113</v>
      </c>
      <c r="AH17" s="710" t="str">
        <f t="shared" si="2"/>
        <v>Kaspar Mänd</v>
      </c>
      <c r="AI17" s="709" t="str">
        <f>IFERROR(INDEX(V!R$7:R$62,MATCH(AJ17,V!L$7:L$62,0)),"")</f>
        <v/>
      </c>
      <c r="AJ17" s="710" t="str">
        <f t="shared" si="3"/>
        <v/>
      </c>
      <c r="AK17" s="709" t="str">
        <f>IFERROR(INDEX(V!R$7:R$62,MATCH(AL17,V!L$7:L$62,0)),"")</f>
        <v/>
      </c>
      <c r="AL17" s="710" t="str">
        <f t="shared" si="4"/>
        <v/>
      </c>
      <c r="AM17" s="652"/>
    </row>
    <row r="18" spans="1:39" x14ac:dyDescent="0.2">
      <c r="A18" s="685">
        <v>11</v>
      </c>
      <c r="B18" s="696" t="s">
        <v>412</v>
      </c>
      <c r="C18" s="687"/>
      <c r="D18" s="688" t="s">
        <v>377</v>
      </c>
      <c r="E18" s="689"/>
      <c r="F18" s="690"/>
      <c r="G18" s="687"/>
      <c r="H18" s="688" t="s">
        <v>377</v>
      </c>
      <c r="I18" s="689"/>
      <c r="J18" s="690"/>
      <c r="K18" s="687"/>
      <c r="L18" s="688" t="s">
        <v>377</v>
      </c>
      <c r="M18" s="689"/>
      <c r="N18" s="690"/>
      <c r="O18" s="687"/>
      <c r="P18" s="688" t="s">
        <v>377</v>
      </c>
      <c r="Q18" s="689"/>
      <c r="R18" s="690"/>
      <c r="S18" s="687"/>
      <c r="T18" s="688" t="s">
        <v>377</v>
      </c>
      <c r="U18" s="689"/>
      <c r="V18" s="690"/>
      <c r="W18" s="691">
        <f t="shared" si="5"/>
        <v>0</v>
      </c>
      <c r="X18" s="692"/>
      <c r="Y18" s="687">
        <f t="shared" si="6"/>
        <v>0</v>
      </c>
      <c r="Z18" s="688" t="s">
        <v>377</v>
      </c>
      <c r="AA18" s="693">
        <f t="shared" si="7"/>
        <v>0</v>
      </c>
      <c r="AB18" s="694">
        <f t="shared" si="8"/>
        <v>0</v>
      </c>
      <c r="AC18" s="695"/>
      <c r="AD18" s="708">
        <f t="shared" si="9"/>
        <v>103</v>
      </c>
      <c r="AE18" s="709">
        <f>IFERROR(INDEX(V!R$7:R$62,MATCH(AF18,V!L$7:L$62,0)),"")</f>
        <v>26</v>
      </c>
      <c r="AF18" s="710" t="str">
        <f t="shared" si="1"/>
        <v>Heili Vasser</v>
      </c>
      <c r="AG18" s="709">
        <f>IFERROR(INDEX(V!R$7:R$62,MATCH(AH18,V!L$7:L$62,0)),"")</f>
        <v>77</v>
      </c>
      <c r="AH18" s="710" t="str">
        <f t="shared" si="2"/>
        <v>Vello Vasser</v>
      </c>
      <c r="AI18" s="709" t="str">
        <f>IFERROR(INDEX(V!R$7:R$62,MATCH(AJ18,V!L$7:L$62,0)),"")</f>
        <v/>
      </c>
      <c r="AJ18" s="710" t="str">
        <f t="shared" si="3"/>
        <v/>
      </c>
      <c r="AK18" s="709" t="str">
        <f>IFERROR(INDEX(V!R$7:R$62,MATCH(AL18,V!L$7:L$62,0)),"")</f>
        <v/>
      </c>
      <c r="AL18" s="710" t="str">
        <f t="shared" si="4"/>
        <v/>
      </c>
      <c r="AM18" s="652"/>
    </row>
    <row r="19" spans="1:39" x14ac:dyDescent="0.2">
      <c r="A19" s="685">
        <v>12</v>
      </c>
      <c r="B19" s="696" t="s">
        <v>397</v>
      </c>
      <c r="C19" s="687"/>
      <c r="D19" s="688" t="s">
        <v>377</v>
      </c>
      <c r="E19" s="689"/>
      <c r="F19" s="690"/>
      <c r="G19" s="687"/>
      <c r="H19" s="688" t="s">
        <v>377</v>
      </c>
      <c r="I19" s="689"/>
      <c r="J19" s="690"/>
      <c r="K19" s="687"/>
      <c r="L19" s="688" t="s">
        <v>377</v>
      </c>
      <c r="M19" s="689"/>
      <c r="N19" s="690"/>
      <c r="O19" s="687"/>
      <c r="P19" s="688" t="s">
        <v>377</v>
      </c>
      <c r="Q19" s="689"/>
      <c r="R19" s="690"/>
      <c r="S19" s="687"/>
      <c r="T19" s="688" t="s">
        <v>377</v>
      </c>
      <c r="U19" s="689"/>
      <c r="V19" s="690"/>
      <c r="W19" s="691">
        <f t="shared" si="5"/>
        <v>0</v>
      </c>
      <c r="X19" s="692"/>
      <c r="Y19" s="687">
        <f t="shared" si="6"/>
        <v>0</v>
      </c>
      <c r="Z19" s="688" t="s">
        <v>377</v>
      </c>
      <c r="AA19" s="693">
        <f t="shared" si="7"/>
        <v>0</v>
      </c>
      <c r="AB19" s="694">
        <f t="shared" si="8"/>
        <v>0</v>
      </c>
      <c r="AC19" s="695"/>
      <c r="AD19" s="708">
        <f t="shared" si="9"/>
        <v>166</v>
      </c>
      <c r="AE19" s="709">
        <f>IFERROR(INDEX(V!R$7:R$62,MATCH(AF19,V!L$7:L$62,0)),"")</f>
        <v>81</v>
      </c>
      <c r="AF19" s="710" t="str">
        <f t="shared" si="1"/>
        <v>Illar Tõnurist</v>
      </c>
      <c r="AG19" s="709">
        <f>IFERROR(INDEX(V!R$7:R$62,MATCH(AH19,V!L$7:L$62,0)),"")</f>
        <v>85</v>
      </c>
      <c r="AH19" s="710" t="str">
        <f t="shared" si="2"/>
        <v>Jaan Saar</v>
      </c>
      <c r="AI19" s="709" t="str">
        <f>IFERROR(INDEX(V!R$7:R$62,MATCH(AJ19,V!L$7:L$62,0)),"")</f>
        <v/>
      </c>
      <c r="AJ19" s="710" t="str">
        <f t="shared" si="3"/>
        <v/>
      </c>
      <c r="AK19" s="709" t="str">
        <f>IFERROR(INDEX(V!R$7:R$62,MATCH(AL19,V!L$7:L$62,0)),"")</f>
        <v/>
      </c>
      <c r="AL19" s="710" t="str">
        <f t="shared" si="4"/>
        <v/>
      </c>
      <c r="AM19" s="652"/>
    </row>
    <row r="20" spans="1:39" x14ac:dyDescent="0.2">
      <c r="A20" s="685">
        <v>13</v>
      </c>
      <c r="B20" s="686" t="s">
        <v>415</v>
      </c>
      <c r="C20" s="687"/>
      <c r="D20" s="688" t="s">
        <v>377</v>
      </c>
      <c r="E20" s="689"/>
      <c r="F20" s="690"/>
      <c r="G20" s="687"/>
      <c r="H20" s="688" t="s">
        <v>377</v>
      </c>
      <c r="I20" s="689"/>
      <c r="J20" s="690"/>
      <c r="K20" s="687"/>
      <c r="L20" s="688" t="s">
        <v>377</v>
      </c>
      <c r="M20" s="689"/>
      <c r="N20" s="690"/>
      <c r="O20" s="687"/>
      <c r="P20" s="688" t="s">
        <v>377</v>
      </c>
      <c r="Q20" s="689"/>
      <c r="R20" s="690"/>
      <c r="S20" s="687"/>
      <c r="T20" s="688" t="s">
        <v>377</v>
      </c>
      <c r="U20" s="689"/>
      <c r="V20" s="690"/>
      <c r="W20" s="691">
        <f t="shared" si="5"/>
        <v>0</v>
      </c>
      <c r="X20" s="692"/>
      <c r="Y20" s="687">
        <f t="shared" si="6"/>
        <v>0</v>
      </c>
      <c r="Z20" s="688" t="s">
        <v>377</v>
      </c>
      <c r="AA20" s="693">
        <f t="shared" si="7"/>
        <v>0</v>
      </c>
      <c r="AB20" s="694">
        <f t="shared" si="8"/>
        <v>0</v>
      </c>
      <c r="AC20" s="695"/>
      <c r="AD20" s="708">
        <f t="shared" si="9"/>
        <v>138</v>
      </c>
      <c r="AE20" s="709">
        <f>IFERROR(INDEX(V!R$7:R$62,MATCH(AF20,V!L$7:L$62,0)),"")</f>
        <v>77</v>
      </c>
      <c r="AF20" s="710" t="str">
        <f t="shared" si="1"/>
        <v>Liidia Põllu</v>
      </c>
      <c r="AG20" s="709">
        <f>IFERROR(INDEX(V!R$7:R$62,MATCH(AH20,V!L$7:L$62,0)),"")</f>
        <v>61</v>
      </c>
      <c r="AH20" s="710" t="str">
        <f t="shared" si="2"/>
        <v>Vladimir Ogneštšikov</v>
      </c>
      <c r="AI20" s="709" t="str">
        <f>IFERROR(INDEX(V!R$7:R$62,MATCH(AJ20,V!L$7:L$62,0)),"")</f>
        <v/>
      </c>
      <c r="AJ20" s="710" t="str">
        <f t="shared" si="3"/>
        <v/>
      </c>
      <c r="AK20" s="709" t="str">
        <f>IFERROR(INDEX(V!R$7:R$62,MATCH(AL20,V!L$7:L$62,0)),"")</f>
        <v/>
      </c>
      <c r="AL20" s="710" t="str">
        <f t="shared" si="4"/>
        <v/>
      </c>
      <c r="AM20" s="652"/>
    </row>
    <row r="21" spans="1:39" x14ac:dyDescent="0.2">
      <c r="A21" s="685">
        <v>14</v>
      </c>
      <c r="B21" s="696" t="s">
        <v>420</v>
      </c>
      <c r="C21" s="687"/>
      <c r="D21" s="688" t="s">
        <v>377</v>
      </c>
      <c r="E21" s="689"/>
      <c r="F21" s="690"/>
      <c r="G21" s="687"/>
      <c r="H21" s="688" t="s">
        <v>377</v>
      </c>
      <c r="I21" s="689"/>
      <c r="J21" s="690"/>
      <c r="K21" s="687"/>
      <c r="L21" s="688" t="s">
        <v>377</v>
      </c>
      <c r="M21" s="689"/>
      <c r="N21" s="690"/>
      <c r="O21" s="687"/>
      <c r="P21" s="688" t="s">
        <v>377</v>
      </c>
      <c r="Q21" s="689"/>
      <c r="R21" s="690"/>
      <c r="S21" s="687"/>
      <c r="T21" s="688" t="s">
        <v>377</v>
      </c>
      <c r="U21" s="689"/>
      <c r="V21" s="690"/>
      <c r="W21" s="691">
        <f t="shared" si="5"/>
        <v>0</v>
      </c>
      <c r="X21" s="692"/>
      <c r="Y21" s="687">
        <f t="shared" si="6"/>
        <v>0</v>
      </c>
      <c r="Z21" s="688" t="s">
        <v>377</v>
      </c>
      <c r="AA21" s="693">
        <f t="shared" si="7"/>
        <v>0</v>
      </c>
      <c r="AB21" s="694">
        <f t="shared" si="8"/>
        <v>0</v>
      </c>
      <c r="AC21" s="695"/>
      <c r="AD21" s="708">
        <f t="shared" si="9"/>
        <v>82</v>
      </c>
      <c r="AE21" s="709">
        <f>IFERROR(INDEX(V!R$7:R$62,MATCH(AF21,V!L$7:L$62,0)),"")</f>
        <v>7</v>
      </c>
      <c r="AF21" s="710" t="str">
        <f t="shared" si="1"/>
        <v>Jüri Mironjuk</v>
      </c>
      <c r="AG21" s="709">
        <f>IFERROR(INDEX(V!R$7:R$62,MATCH(AH21,V!L$7:L$62,0)),"")</f>
        <v>75</v>
      </c>
      <c r="AH21" s="710" t="str">
        <f t="shared" si="2"/>
        <v>Tõnu Kapper</v>
      </c>
      <c r="AI21" s="709" t="str">
        <f>IFERROR(INDEX(V!R$7:R$62,MATCH(AJ21,V!L$7:L$62,0)),"")</f>
        <v/>
      </c>
      <c r="AJ21" s="710" t="str">
        <f t="shared" si="3"/>
        <v/>
      </c>
      <c r="AK21" s="709" t="str">
        <f>IFERROR(INDEX(V!R$7:R$62,MATCH(AL21,V!L$7:L$62,0)),"")</f>
        <v/>
      </c>
      <c r="AL21" s="710" t="str">
        <f t="shared" si="4"/>
        <v/>
      </c>
      <c r="AM21" s="652"/>
    </row>
    <row r="22" spans="1:39" hidden="1" x14ac:dyDescent="0.2">
      <c r="A22" s="652"/>
      <c r="B22" s="652"/>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row>
    <row r="23" spans="1:39" hidden="1" x14ac:dyDescent="0.2">
      <c r="A23" s="652"/>
      <c r="B23" s="652"/>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row>
    <row r="24" spans="1:39" hidden="1" x14ac:dyDescent="0.2">
      <c r="A24" s="652"/>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row>
    <row r="25" spans="1:39" hidden="1" x14ac:dyDescent="0.2">
      <c r="A25" s="652"/>
      <c r="B25" s="652"/>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row>
    <row r="26" spans="1:39" hidden="1" x14ac:dyDescent="0.2">
      <c r="A26" s="652"/>
      <c r="B26" s="652"/>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row>
    <row r="27" spans="1:39" hidden="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row>
    <row r="28" spans="1:39" hidden="1" x14ac:dyDescent="0.2">
      <c r="A28" s="652"/>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row>
    <row r="29" spans="1:39" hidden="1" x14ac:dyDescent="0.2">
      <c r="A29" s="652"/>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row>
    <row r="30" spans="1:39"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row>
    <row r="31" spans="1:39"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row>
    <row r="32" spans="1:39"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row>
    <row r="33" spans="1:39"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row>
    <row r="34" spans="1:39"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row>
    <row r="35" spans="1:39"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row>
    <row r="36" spans="1:39"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2"/>
    </row>
    <row r="133" spans="1:39"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c r="AH133" s="652"/>
      <c r="AI133" s="652"/>
      <c r="AJ133" s="652"/>
      <c r="AK133" s="652"/>
      <c r="AL133" s="652"/>
      <c r="AM133" s="652"/>
    </row>
    <row r="134" spans="1:39" hidden="1" x14ac:dyDescent="0.2">
      <c r="A134" s="652"/>
      <c r="B134" s="652"/>
      <c r="C134" s="652"/>
      <c r="D134" s="652"/>
      <c r="E134" s="652"/>
      <c r="F134" s="652"/>
      <c r="G134" s="652"/>
      <c r="H134" s="652"/>
      <c r="I134" s="652"/>
      <c r="J134" s="652"/>
      <c r="K134" s="652"/>
      <c r="L134" s="652"/>
      <c r="M134" s="652"/>
      <c r="N134" s="652"/>
      <c r="O134" s="652"/>
      <c r="P134" s="652"/>
      <c r="Q134" s="652"/>
      <c r="R134" s="652"/>
      <c r="S134" s="652"/>
      <c r="T134" s="652"/>
      <c r="U134" s="652"/>
      <c r="V134" s="652"/>
      <c r="W134" s="652"/>
      <c r="X134" s="652"/>
      <c r="Y134" s="652"/>
      <c r="Z134" s="652"/>
      <c r="AA134" s="652"/>
      <c r="AB134" s="652"/>
      <c r="AC134" s="652"/>
      <c r="AD134" s="652"/>
      <c r="AE134" s="652"/>
      <c r="AF134" s="652"/>
      <c r="AG134" s="652"/>
      <c r="AH134" s="652"/>
      <c r="AI134" s="652"/>
      <c r="AJ134" s="652"/>
      <c r="AK134" s="652"/>
      <c r="AL134" s="652"/>
      <c r="AM134" s="652"/>
    </row>
    <row r="135" spans="1:39" hidden="1" x14ac:dyDescent="0.2">
      <c r="A135" s="652"/>
      <c r="B135" s="652"/>
      <c r="C135" s="652"/>
      <c r="D135" s="652"/>
      <c r="E135" s="652"/>
      <c r="F135" s="652"/>
      <c r="G135" s="652"/>
      <c r="H135" s="652"/>
      <c r="I135" s="652"/>
      <c r="J135" s="652"/>
      <c r="K135" s="652"/>
      <c r="L135" s="652"/>
      <c r="M135" s="652"/>
      <c r="N135" s="652"/>
      <c r="O135" s="652"/>
      <c r="P135" s="652"/>
      <c r="Q135" s="652"/>
      <c r="R135" s="652"/>
      <c r="S135" s="652"/>
      <c r="T135" s="652"/>
      <c r="U135" s="652"/>
      <c r="V135" s="652"/>
      <c r="W135" s="652"/>
      <c r="X135" s="652"/>
      <c r="Y135" s="652"/>
      <c r="Z135" s="652"/>
      <c r="AA135" s="652"/>
      <c r="AB135" s="652"/>
      <c r="AC135" s="652"/>
      <c r="AD135" s="652"/>
      <c r="AE135" s="652"/>
      <c r="AF135" s="652"/>
      <c r="AG135" s="652"/>
      <c r="AH135" s="652"/>
      <c r="AI135" s="652"/>
      <c r="AJ135" s="652"/>
      <c r="AK135" s="652"/>
      <c r="AL135" s="652"/>
      <c r="AM135" s="652"/>
    </row>
    <row r="136" spans="1:39" hidden="1" x14ac:dyDescent="0.2">
      <c r="A136" s="652"/>
      <c r="B136" s="652"/>
      <c r="C136" s="652"/>
      <c r="D136" s="652"/>
      <c r="E136" s="652"/>
      <c r="F136" s="652"/>
      <c r="G136" s="652"/>
      <c r="H136" s="652"/>
      <c r="I136" s="652"/>
      <c r="J136" s="652"/>
      <c r="K136" s="652"/>
      <c r="L136" s="652"/>
      <c r="M136" s="652"/>
      <c r="N136" s="652"/>
      <c r="O136" s="652"/>
      <c r="P136" s="652"/>
      <c r="Q136" s="652"/>
      <c r="R136" s="652"/>
      <c r="S136" s="652"/>
      <c r="T136" s="652"/>
      <c r="U136" s="652"/>
      <c r="V136" s="652"/>
      <c r="W136" s="652"/>
      <c r="X136" s="652"/>
      <c r="Y136" s="652"/>
      <c r="Z136" s="652"/>
      <c r="AA136" s="652"/>
      <c r="AB136" s="652"/>
      <c r="AC136" s="652"/>
      <c r="AD136" s="652"/>
      <c r="AE136" s="652"/>
      <c r="AF136" s="652"/>
      <c r="AG136" s="652"/>
      <c r="AH136" s="652"/>
      <c r="AI136" s="652"/>
      <c r="AJ136" s="652"/>
      <c r="AK136" s="652"/>
      <c r="AL136" s="652"/>
      <c r="AM136" s="652"/>
    </row>
    <row r="137" spans="1:39" hidden="1" x14ac:dyDescent="0.2">
      <c r="A137" s="652"/>
      <c r="B137" s="652"/>
      <c r="C137" s="652"/>
      <c r="D137" s="652"/>
      <c r="E137" s="652"/>
      <c r="F137" s="652"/>
      <c r="G137" s="652"/>
      <c r="H137" s="652"/>
      <c r="I137" s="652"/>
      <c r="J137" s="652"/>
      <c r="K137" s="652"/>
      <c r="L137" s="657"/>
      <c r="M137" s="657"/>
      <c r="N137" s="657"/>
      <c r="O137" s="652"/>
      <c r="P137" s="652"/>
      <c r="Q137" s="652"/>
      <c r="R137" s="652"/>
      <c r="S137" s="652"/>
      <c r="T137" s="657"/>
      <c r="U137" s="657"/>
      <c r="V137" s="657"/>
      <c r="W137" s="652"/>
      <c r="X137" s="652"/>
      <c r="Y137" s="652"/>
      <c r="Z137" s="652"/>
      <c r="AA137" s="652"/>
      <c r="AB137" s="652"/>
      <c r="AC137" s="652"/>
      <c r="AD137" s="652"/>
      <c r="AE137" s="652"/>
      <c r="AF137" s="652"/>
      <c r="AG137" s="652"/>
      <c r="AH137" s="652"/>
      <c r="AI137" s="652"/>
      <c r="AJ137" s="652"/>
      <c r="AK137" s="652"/>
      <c r="AL137" s="652"/>
      <c r="AM137" s="652"/>
    </row>
    <row r="138" spans="1:39" hidden="1" x14ac:dyDescent="0.2">
      <c r="A138" s="652"/>
      <c r="B138" s="652"/>
      <c r="C138" s="652"/>
      <c r="D138" s="652"/>
      <c r="E138" s="652"/>
      <c r="F138" s="652"/>
      <c r="G138" s="652"/>
      <c r="H138" s="652"/>
      <c r="I138" s="652"/>
      <c r="J138" s="652"/>
      <c r="K138" s="652"/>
      <c r="L138" s="657"/>
      <c r="M138" s="657"/>
      <c r="N138" s="657"/>
      <c r="O138" s="652"/>
      <c r="P138" s="652"/>
      <c r="Q138" s="652"/>
      <c r="R138" s="652"/>
      <c r="S138" s="652"/>
      <c r="T138" s="657"/>
      <c r="U138" s="657"/>
      <c r="V138" s="657"/>
      <c r="W138" s="652"/>
      <c r="X138" s="652"/>
      <c r="Y138" s="652"/>
      <c r="Z138" s="652"/>
      <c r="AA138" s="652"/>
      <c r="AB138" s="652"/>
      <c r="AC138" s="652"/>
      <c r="AD138" s="652"/>
      <c r="AE138" s="652"/>
      <c r="AF138" s="652"/>
      <c r="AG138" s="652"/>
      <c r="AH138" s="652"/>
      <c r="AI138" s="652"/>
      <c r="AJ138" s="652"/>
      <c r="AK138" s="652"/>
      <c r="AL138" s="652"/>
      <c r="AM138" s="652"/>
    </row>
    <row r="139" spans="1:39" hidden="1" x14ac:dyDescent="0.2">
      <c r="A139" s="652"/>
      <c r="B139" s="652"/>
      <c r="C139" s="652"/>
      <c r="D139" s="652"/>
      <c r="E139" s="652"/>
      <c r="F139" s="652"/>
      <c r="G139" s="652"/>
      <c r="H139" s="652"/>
      <c r="I139" s="652"/>
      <c r="J139" s="652"/>
      <c r="K139" s="652"/>
      <c r="L139" s="657"/>
      <c r="M139" s="657"/>
      <c r="N139" s="657"/>
      <c r="O139" s="652"/>
      <c r="P139" s="652"/>
      <c r="Q139" s="652"/>
      <c r="R139" s="652"/>
      <c r="S139" s="652"/>
      <c r="T139" s="657"/>
      <c r="U139" s="657"/>
      <c r="V139" s="657"/>
      <c r="W139" s="652"/>
      <c r="X139" s="652"/>
      <c r="Y139" s="652"/>
      <c r="Z139" s="652"/>
      <c r="AA139" s="652"/>
      <c r="AB139" s="652"/>
      <c r="AC139" s="652"/>
      <c r="AD139" s="652"/>
      <c r="AE139" s="652"/>
      <c r="AF139" s="652"/>
      <c r="AG139" s="652"/>
      <c r="AH139" s="652"/>
      <c r="AI139" s="652"/>
      <c r="AJ139" s="652"/>
      <c r="AK139" s="652"/>
      <c r="AL139" s="652"/>
      <c r="AM139" s="652"/>
    </row>
    <row r="140" spans="1:39" hidden="1" x14ac:dyDescent="0.2">
      <c r="A140" s="652"/>
      <c r="B140" s="652"/>
      <c r="C140" s="652"/>
      <c r="D140" s="652"/>
      <c r="E140" s="652"/>
      <c r="F140" s="652"/>
      <c r="G140" s="652"/>
      <c r="H140" s="652"/>
      <c r="I140" s="652"/>
      <c r="J140" s="652"/>
      <c r="K140" s="652"/>
      <c r="L140" s="657"/>
      <c r="M140" s="657"/>
      <c r="N140" s="657"/>
      <c r="O140" s="652"/>
      <c r="P140" s="652"/>
      <c r="Q140" s="652"/>
      <c r="R140" s="652"/>
      <c r="S140" s="652"/>
      <c r="T140" s="657"/>
      <c r="U140" s="657"/>
      <c r="V140" s="657"/>
      <c r="W140" s="652"/>
      <c r="X140" s="652"/>
      <c r="Y140" s="652"/>
      <c r="Z140" s="652"/>
      <c r="AA140" s="652"/>
      <c r="AB140" s="652"/>
      <c r="AC140" s="652"/>
      <c r="AD140" s="652"/>
      <c r="AE140" s="652"/>
      <c r="AF140" s="652"/>
      <c r="AG140" s="652"/>
      <c r="AH140" s="652"/>
      <c r="AI140" s="652"/>
      <c r="AJ140" s="652"/>
      <c r="AK140" s="652"/>
      <c r="AL140" s="652"/>
      <c r="AM140" s="652"/>
    </row>
    <row r="141" spans="1:39" hidden="1" x14ac:dyDescent="0.2">
      <c r="A141" s="652"/>
      <c r="B141" s="652"/>
      <c r="C141" s="652"/>
      <c r="D141" s="652"/>
      <c r="E141" s="652"/>
      <c r="F141" s="652"/>
      <c r="G141" s="652"/>
      <c r="H141" s="652"/>
      <c r="I141" s="652"/>
      <c r="J141" s="652"/>
      <c r="K141" s="652"/>
      <c r="L141" s="657"/>
      <c r="M141" s="657"/>
      <c r="N141" s="657"/>
      <c r="O141" s="652"/>
      <c r="P141" s="652"/>
      <c r="Q141" s="652"/>
      <c r="R141" s="652"/>
      <c r="S141" s="652"/>
      <c r="T141" s="657"/>
      <c r="U141" s="657"/>
      <c r="V141" s="657"/>
      <c r="W141" s="652"/>
      <c r="X141" s="652"/>
      <c r="Y141" s="652"/>
      <c r="Z141" s="652"/>
      <c r="AA141" s="652"/>
      <c r="AB141" s="652"/>
      <c r="AC141" s="652"/>
      <c r="AD141" s="652"/>
      <c r="AE141" s="652"/>
      <c r="AF141" s="652"/>
      <c r="AG141" s="652"/>
      <c r="AH141" s="652"/>
      <c r="AI141" s="652"/>
      <c r="AJ141" s="652"/>
      <c r="AK141" s="652"/>
      <c r="AL141" s="652"/>
      <c r="AM141" s="652"/>
    </row>
    <row r="142" spans="1:39" hidden="1" x14ac:dyDescent="0.2">
      <c r="A142" s="652"/>
      <c r="B142" s="652"/>
      <c r="C142" s="652"/>
      <c r="D142" s="652"/>
      <c r="E142" s="652"/>
      <c r="F142" s="652"/>
      <c r="G142" s="652"/>
      <c r="H142" s="652"/>
      <c r="I142" s="652"/>
      <c r="J142" s="652"/>
      <c r="K142" s="652"/>
      <c r="L142" s="657"/>
      <c r="M142" s="657"/>
      <c r="N142" s="657"/>
      <c r="O142" s="652"/>
      <c r="P142" s="652"/>
      <c r="Q142" s="652"/>
      <c r="R142" s="652"/>
      <c r="S142" s="652"/>
      <c r="T142" s="657"/>
      <c r="U142" s="657"/>
      <c r="V142" s="657"/>
      <c r="W142" s="652"/>
      <c r="X142" s="652"/>
      <c r="Y142" s="652"/>
      <c r="Z142" s="652"/>
      <c r="AA142" s="652"/>
      <c r="AB142" s="652"/>
      <c r="AC142" s="652"/>
      <c r="AD142" s="652"/>
      <c r="AE142" s="652"/>
      <c r="AF142" s="652"/>
      <c r="AG142" s="652"/>
      <c r="AH142" s="652"/>
      <c r="AI142" s="652"/>
      <c r="AJ142" s="652"/>
      <c r="AK142" s="652"/>
      <c r="AL142" s="652"/>
      <c r="AM142" s="652"/>
    </row>
    <row r="143" spans="1:39" hidden="1" x14ac:dyDescent="0.2">
      <c r="A143" s="652"/>
      <c r="B143" s="652"/>
      <c r="C143" s="652"/>
      <c r="D143" s="652"/>
      <c r="E143" s="652"/>
      <c r="F143" s="652"/>
      <c r="G143" s="652"/>
      <c r="H143" s="652"/>
      <c r="I143" s="652"/>
      <c r="J143" s="652"/>
      <c r="K143" s="652"/>
      <c r="L143" s="657"/>
      <c r="M143" s="657"/>
      <c r="N143" s="657"/>
      <c r="O143" s="652"/>
      <c r="P143" s="652"/>
      <c r="Q143" s="652"/>
      <c r="R143" s="652"/>
      <c r="S143" s="652"/>
      <c r="T143" s="657"/>
      <c r="U143" s="657"/>
      <c r="V143" s="657"/>
      <c r="W143" s="652"/>
      <c r="X143" s="652"/>
      <c r="Y143" s="652"/>
      <c r="Z143" s="652"/>
      <c r="AA143" s="652"/>
      <c r="AB143" s="652"/>
      <c r="AC143" s="652"/>
      <c r="AD143" s="652"/>
      <c r="AE143" s="652"/>
      <c r="AF143" s="652"/>
      <c r="AG143" s="652"/>
      <c r="AH143" s="652"/>
      <c r="AI143" s="652"/>
      <c r="AJ143" s="652"/>
      <c r="AK143" s="652"/>
      <c r="AL143" s="652"/>
      <c r="AM143" s="652"/>
    </row>
    <row r="144" spans="1:39" hidden="1" x14ac:dyDescent="0.2">
      <c r="A144" s="652"/>
      <c r="B144" s="652"/>
      <c r="C144" s="652"/>
      <c r="D144" s="652"/>
      <c r="E144" s="652"/>
      <c r="F144" s="652"/>
      <c r="G144" s="652"/>
      <c r="H144" s="652"/>
      <c r="I144" s="652"/>
      <c r="J144" s="652"/>
      <c r="K144" s="652"/>
      <c r="L144" s="657"/>
      <c r="M144" s="657"/>
      <c r="N144" s="657"/>
      <c r="O144" s="652"/>
      <c r="P144" s="652"/>
      <c r="Q144" s="652"/>
      <c r="R144" s="652"/>
      <c r="S144" s="652"/>
      <c r="T144" s="657"/>
      <c r="U144" s="657"/>
      <c r="V144" s="657"/>
      <c r="W144" s="652"/>
      <c r="X144" s="652"/>
      <c r="Y144" s="652"/>
      <c r="Z144" s="652"/>
      <c r="AA144" s="652"/>
      <c r="AB144" s="652"/>
      <c r="AC144" s="652"/>
      <c r="AD144" s="652"/>
      <c r="AE144" s="652"/>
      <c r="AF144" s="652"/>
      <c r="AG144" s="652"/>
      <c r="AH144" s="652"/>
      <c r="AI144" s="652"/>
      <c r="AJ144" s="652"/>
      <c r="AK144" s="652"/>
      <c r="AL144" s="652"/>
      <c r="AM144" s="652"/>
    </row>
    <row r="145" spans="1:39"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652"/>
      <c r="AF145" s="652"/>
      <c r="AG145" s="652"/>
      <c r="AH145" s="652"/>
      <c r="AI145" s="652"/>
      <c r="AJ145" s="652"/>
      <c r="AK145" s="652"/>
      <c r="AL145" s="652"/>
      <c r="AM145" s="652"/>
    </row>
    <row r="146" spans="1:39"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652"/>
      <c r="AF146" s="652"/>
      <c r="AG146" s="652"/>
      <c r="AH146" s="652"/>
      <c r="AI146" s="652"/>
      <c r="AJ146" s="652"/>
      <c r="AK146" s="652"/>
      <c r="AL146" s="652"/>
      <c r="AM146" s="652"/>
    </row>
    <row r="147" spans="1:39"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c r="AI148" s="652"/>
      <c r="AJ148" s="652"/>
      <c r="AK148" s="652"/>
      <c r="AL148" s="652"/>
      <c r="AM148" s="652"/>
    </row>
    <row r="149" spans="1:39"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c r="AH149" s="652"/>
      <c r="AI149" s="652"/>
      <c r="AJ149" s="652"/>
      <c r="AK149" s="652"/>
      <c r="AL149" s="652"/>
      <c r="AM149" s="652"/>
    </row>
    <row r="150" spans="1:39" hidden="1" x14ac:dyDescent="0.2">
      <c r="A150" s="652"/>
      <c r="B150" s="652"/>
      <c r="C150" s="652"/>
      <c r="D150" s="652"/>
      <c r="E150" s="652"/>
      <c r="F150" s="652"/>
      <c r="G150" s="652"/>
      <c r="H150" s="652"/>
      <c r="I150" s="652"/>
      <c r="J150" s="652"/>
      <c r="K150" s="652"/>
      <c r="L150" s="657"/>
      <c r="M150" s="657"/>
      <c r="N150" s="657"/>
      <c r="O150" s="652"/>
      <c r="P150" s="652"/>
      <c r="Q150" s="652"/>
      <c r="R150" s="652"/>
      <c r="S150" s="652"/>
      <c r="T150" s="657"/>
      <c r="U150" s="657"/>
      <c r="V150" s="657"/>
      <c r="W150" s="652"/>
      <c r="X150" s="652"/>
      <c r="Y150" s="652"/>
      <c r="Z150" s="652"/>
      <c r="AA150" s="652"/>
      <c r="AB150" s="652"/>
      <c r="AC150" s="652"/>
      <c r="AD150" s="652"/>
      <c r="AE150" s="652"/>
      <c r="AF150" s="652"/>
      <c r="AG150" s="652"/>
      <c r="AH150" s="652"/>
      <c r="AI150" s="652"/>
      <c r="AJ150" s="652"/>
      <c r="AK150" s="652"/>
      <c r="AL150" s="652"/>
      <c r="AM150" s="652"/>
    </row>
    <row r="151" spans="1:39" hidden="1" x14ac:dyDescent="0.2">
      <c r="A151" s="652"/>
      <c r="B151" s="652"/>
      <c r="C151" s="652"/>
      <c r="D151" s="652"/>
      <c r="E151" s="652"/>
      <c r="F151" s="652"/>
      <c r="G151" s="652"/>
      <c r="H151" s="652"/>
      <c r="I151" s="652"/>
      <c r="J151" s="652"/>
      <c r="K151" s="652"/>
      <c r="L151" s="657"/>
      <c r="M151" s="657"/>
      <c r="N151" s="657"/>
      <c r="O151" s="652"/>
      <c r="P151" s="652"/>
      <c r="Q151" s="652"/>
      <c r="R151" s="652"/>
      <c r="S151" s="652"/>
      <c r="T151" s="657"/>
      <c r="U151" s="657"/>
      <c r="V151" s="657"/>
      <c r="W151" s="652"/>
      <c r="X151" s="652"/>
      <c r="Y151" s="652"/>
      <c r="Z151" s="652"/>
      <c r="AA151" s="652"/>
      <c r="AB151" s="652"/>
      <c r="AC151" s="652"/>
      <c r="AD151" s="652"/>
      <c r="AE151" s="652"/>
      <c r="AF151" s="652"/>
      <c r="AG151" s="652"/>
      <c r="AH151" s="652"/>
      <c r="AI151" s="652"/>
      <c r="AJ151" s="652"/>
      <c r="AK151" s="652"/>
      <c r="AL151" s="652"/>
      <c r="AM151" s="652"/>
    </row>
    <row r="152" spans="1:39" hidden="1" x14ac:dyDescent="0.2">
      <c r="A152" s="652"/>
      <c r="B152" s="652"/>
      <c r="C152" s="652"/>
      <c r="D152" s="652"/>
      <c r="E152" s="652"/>
      <c r="F152" s="652"/>
      <c r="G152" s="652"/>
      <c r="H152" s="652"/>
      <c r="I152" s="652"/>
      <c r="J152" s="652"/>
      <c r="K152" s="652"/>
      <c r="L152" s="657"/>
      <c r="M152" s="657"/>
      <c r="N152" s="657"/>
      <c r="O152" s="652"/>
      <c r="P152" s="652"/>
      <c r="Q152" s="652"/>
      <c r="R152" s="652"/>
      <c r="S152" s="652"/>
      <c r="T152" s="657"/>
      <c r="U152" s="657"/>
      <c r="V152" s="657"/>
      <c r="W152" s="652"/>
      <c r="X152" s="652"/>
      <c r="Y152" s="652"/>
      <c r="Z152" s="652"/>
      <c r="AA152" s="652"/>
      <c r="AB152" s="652"/>
      <c r="AC152" s="652"/>
      <c r="AD152" s="652"/>
      <c r="AE152" s="652"/>
      <c r="AF152" s="652"/>
      <c r="AG152" s="652"/>
      <c r="AH152" s="652"/>
      <c r="AI152" s="652"/>
      <c r="AJ152" s="652"/>
      <c r="AK152" s="652"/>
      <c r="AL152" s="652"/>
      <c r="AM152" s="652"/>
    </row>
    <row r="153" spans="1:39" hidden="1" x14ac:dyDescent="0.2">
      <c r="A153" s="652"/>
      <c r="B153" s="652"/>
      <c r="C153" s="652"/>
      <c r="D153" s="652"/>
      <c r="E153" s="652"/>
      <c r="F153" s="652"/>
      <c r="G153" s="652"/>
      <c r="H153" s="652"/>
      <c r="I153" s="652"/>
      <c r="J153" s="652"/>
      <c r="K153" s="652"/>
      <c r="L153" s="652"/>
      <c r="M153" s="652"/>
      <c r="N153" s="652"/>
      <c r="O153" s="652"/>
      <c r="P153" s="652"/>
      <c r="Q153" s="652"/>
      <c r="R153" s="652"/>
      <c r="S153" s="652"/>
      <c r="T153" s="652"/>
      <c r="U153" s="652"/>
      <c r="V153" s="652"/>
      <c r="W153" s="652"/>
      <c r="X153" s="652"/>
      <c r="Y153" s="652"/>
      <c r="Z153" s="652"/>
      <c r="AA153" s="652"/>
      <c r="AB153" s="652"/>
      <c r="AC153" s="652"/>
      <c r="AD153" s="652"/>
      <c r="AE153" s="652"/>
      <c r="AF153" s="652"/>
      <c r="AG153" s="652"/>
      <c r="AH153" s="652"/>
      <c r="AI153" s="652"/>
      <c r="AJ153" s="652"/>
      <c r="AK153" s="652"/>
      <c r="AL153" s="652"/>
      <c r="AM153" s="652"/>
    </row>
    <row r="154" spans="1:39" hidden="1" x14ac:dyDescent="0.2">
      <c r="A154" s="652"/>
      <c r="B154" s="652"/>
      <c r="C154" s="652"/>
      <c r="D154" s="652"/>
      <c r="E154" s="652"/>
      <c r="F154" s="652"/>
      <c r="G154" s="652"/>
      <c r="H154" s="652"/>
      <c r="I154" s="652"/>
      <c r="J154" s="652"/>
      <c r="K154" s="652"/>
      <c r="L154" s="652"/>
      <c r="M154" s="652"/>
      <c r="N154" s="652"/>
      <c r="O154" s="652"/>
      <c r="P154" s="652"/>
      <c r="Q154" s="652"/>
      <c r="R154" s="652"/>
      <c r="S154" s="652"/>
      <c r="T154" s="652"/>
      <c r="U154" s="652"/>
      <c r="V154" s="652"/>
      <c r="W154" s="652"/>
      <c r="X154" s="652"/>
      <c r="Y154" s="652"/>
      <c r="Z154" s="652"/>
      <c r="AA154" s="652"/>
      <c r="AB154" s="652"/>
      <c r="AC154" s="652"/>
      <c r="AD154" s="652"/>
      <c r="AE154" s="652"/>
      <c r="AF154" s="652"/>
      <c r="AG154" s="652"/>
      <c r="AH154" s="652"/>
      <c r="AI154" s="652"/>
      <c r="AJ154" s="652"/>
      <c r="AK154" s="652"/>
      <c r="AL154" s="652"/>
      <c r="AM154" s="652"/>
    </row>
    <row r="155" spans="1:39" hidden="1" x14ac:dyDescent="0.2">
      <c r="A155" s="652"/>
      <c r="B155" s="652"/>
      <c r="C155" s="652"/>
      <c r="D155" s="652"/>
      <c r="E155" s="652"/>
      <c r="F155" s="652"/>
      <c r="G155" s="652"/>
      <c r="H155" s="652"/>
      <c r="I155" s="652"/>
      <c r="J155" s="652"/>
      <c r="K155" s="652"/>
      <c r="L155" s="652"/>
      <c r="M155" s="652"/>
      <c r="N155" s="652"/>
      <c r="O155" s="652"/>
      <c r="P155" s="652"/>
      <c r="Q155" s="652"/>
      <c r="R155" s="652"/>
      <c r="S155" s="652"/>
      <c r="T155" s="652"/>
      <c r="U155" s="652"/>
      <c r="V155" s="652"/>
      <c r="W155" s="652"/>
      <c r="X155" s="652"/>
      <c r="Y155" s="652"/>
      <c r="Z155" s="652"/>
      <c r="AA155" s="652"/>
      <c r="AB155" s="652"/>
      <c r="AC155" s="652"/>
      <c r="AD155" s="652"/>
      <c r="AE155" s="652"/>
      <c r="AF155" s="652"/>
      <c r="AG155" s="652"/>
      <c r="AH155" s="652"/>
      <c r="AI155" s="652"/>
      <c r="AJ155" s="652"/>
      <c r="AK155" s="652"/>
      <c r="AL155" s="652"/>
      <c r="AM155" s="652"/>
    </row>
    <row r="156" spans="1:39" hidden="1" x14ac:dyDescent="0.2">
      <c r="A156" s="652"/>
      <c r="B156" s="652"/>
      <c r="C156" s="652"/>
      <c r="D156" s="652"/>
      <c r="E156" s="652"/>
      <c r="F156" s="652"/>
      <c r="G156" s="652"/>
      <c r="H156" s="652"/>
      <c r="I156" s="652"/>
      <c r="J156" s="652"/>
      <c r="K156" s="652"/>
      <c r="L156" s="652"/>
      <c r="M156" s="652"/>
      <c r="N156" s="652"/>
      <c r="O156" s="652"/>
      <c r="P156" s="652"/>
      <c r="Q156" s="652"/>
      <c r="R156" s="652"/>
      <c r="S156" s="652"/>
      <c r="T156" s="652"/>
      <c r="U156" s="652"/>
      <c r="V156" s="652"/>
      <c r="W156" s="652"/>
      <c r="X156" s="652"/>
      <c r="Y156" s="652"/>
      <c r="Z156" s="652"/>
      <c r="AA156" s="652"/>
      <c r="AB156" s="652"/>
      <c r="AC156" s="652"/>
      <c r="AD156" s="652"/>
      <c r="AE156" s="652"/>
      <c r="AF156" s="652"/>
      <c r="AG156" s="652"/>
      <c r="AH156" s="652"/>
      <c r="AI156" s="652"/>
      <c r="AJ156" s="652"/>
      <c r="AK156" s="652"/>
      <c r="AL156" s="652"/>
      <c r="AM156" s="652"/>
    </row>
    <row r="157" spans="1:39" hidden="1" x14ac:dyDescent="0.2">
      <c r="A157" s="652"/>
      <c r="B157" s="652"/>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652"/>
      <c r="AK157" s="652"/>
      <c r="AL157" s="652"/>
      <c r="AM157" s="652"/>
    </row>
    <row r="158" spans="1:39" hidden="1" x14ac:dyDescent="0.2">
      <c r="A158" s="652"/>
      <c r="B158" s="652"/>
      <c r="C158" s="652"/>
      <c r="D158" s="652"/>
      <c r="E158" s="652"/>
      <c r="F158" s="652"/>
      <c r="G158" s="652"/>
      <c r="H158" s="652"/>
      <c r="I158" s="652"/>
      <c r="J158" s="652"/>
      <c r="K158" s="652"/>
      <c r="L158" s="652"/>
      <c r="M158" s="652"/>
      <c r="N158" s="652"/>
      <c r="O158" s="652"/>
      <c r="P158" s="652"/>
      <c r="Q158" s="652"/>
      <c r="R158" s="652"/>
      <c r="S158" s="652"/>
      <c r="T158" s="652"/>
      <c r="U158" s="652"/>
      <c r="V158" s="652"/>
      <c r="W158" s="652"/>
      <c r="X158" s="652"/>
      <c r="Y158" s="652"/>
      <c r="Z158" s="652"/>
      <c r="AA158" s="652"/>
      <c r="AB158" s="652"/>
      <c r="AC158" s="652"/>
      <c r="AD158" s="652"/>
      <c r="AE158" s="652"/>
      <c r="AF158" s="652"/>
      <c r="AG158" s="652"/>
      <c r="AH158" s="652"/>
      <c r="AI158" s="652"/>
      <c r="AJ158" s="652"/>
      <c r="AK158" s="652"/>
      <c r="AL158" s="652"/>
      <c r="AM158" s="652"/>
    </row>
    <row r="159" spans="1:39" hidden="1" x14ac:dyDescent="0.2">
      <c r="A159" s="652"/>
      <c r="B159" s="652"/>
      <c r="C159" s="652"/>
      <c r="D159" s="652"/>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652"/>
      <c r="AF159" s="652"/>
      <c r="AG159" s="652"/>
      <c r="AH159" s="652"/>
      <c r="AI159" s="652"/>
      <c r="AJ159" s="652"/>
      <c r="AK159" s="652"/>
      <c r="AL159" s="652"/>
      <c r="AM159" s="652"/>
    </row>
    <row r="160" spans="1:39" hidden="1" x14ac:dyDescent="0.2">
      <c r="A160" s="652"/>
      <c r="B160" s="652"/>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row>
    <row r="161" spans="1:39"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row>
    <row r="162" spans="1:39" hidden="1" x14ac:dyDescent="0.2">
      <c r="A162" s="652"/>
      <c r="B162" s="652"/>
      <c r="C162" s="652"/>
      <c r="D162" s="652"/>
      <c r="E162" s="652"/>
      <c r="F162" s="652"/>
      <c r="G162" s="652"/>
      <c r="H162" s="652"/>
      <c r="I162" s="652"/>
      <c r="J162" s="652"/>
      <c r="K162" s="652"/>
      <c r="L162" s="652"/>
      <c r="M162" s="652"/>
      <c r="N162" s="652"/>
      <c r="O162" s="652"/>
      <c r="P162" s="652"/>
      <c r="Q162" s="652"/>
      <c r="R162" s="652"/>
      <c r="S162" s="652"/>
      <c r="T162" s="652"/>
      <c r="U162" s="652"/>
      <c r="V162" s="652"/>
      <c r="W162" s="652"/>
      <c r="X162" s="652"/>
      <c r="Y162" s="652"/>
      <c r="Z162" s="652"/>
      <c r="AA162" s="652"/>
      <c r="AB162" s="652"/>
      <c r="AC162" s="652"/>
      <c r="AD162" s="652"/>
      <c r="AE162" s="652"/>
      <c r="AF162" s="652"/>
      <c r="AG162" s="652"/>
      <c r="AH162" s="652"/>
      <c r="AI162" s="652"/>
      <c r="AJ162" s="652"/>
      <c r="AK162" s="652"/>
      <c r="AL162" s="652"/>
      <c r="AM162" s="652"/>
    </row>
    <row r="163" spans="1:39" hidden="1" x14ac:dyDescent="0.2">
      <c r="A163" s="652"/>
      <c r="B163" s="652"/>
      <c r="C163" s="652"/>
      <c r="D163" s="652"/>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52"/>
      <c r="AE163" s="652"/>
      <c r="AF163" s="652"/>
      <c r="AG163" s="652"/>
      <c r="AH163" s="652"/>
      <c r="AI163" s="652"/>
      <c r="AJ163" s="652"/>
      <c r="AK163" s="652"/>
      <c r="AL163" s="652"/>
      <c r="AM163" s="652"/>
    </row>
    <row r="164" spans="1:39" hidden="1" x14ac:dyDescent="0.2">
      <c r="A164" s="652"/>
      <c r="B164" s="652"/>
      <c r="C164" s="652"/>
      <c r="D164" s="652"/>
      <c r="E164" s="652"/>
      <c r="F164" s="652"/>
      <c r="G164" s="652"/>
      <c r="H164" s="652"/>
      <c r="I164" s="652"/>
      <c r="J164" s="652"/>
      <c r="K164" s="652"/>
      <c r="L164" s="652"/>
      <c r="M164" s="652"/>
      <c r="N164" s="652"/>
      <c r="O164" s="652"/>
      <c r="P164" s="652"/>
      <c r="Q164" s="652"/>
      <c r="R164" s="652"/>
      <c r="S164" s="652"/>
      <c r="T164" s="652"/>
      <c r="U164" s="652"/>
      <c r="V164" s="652"/>
      <c r="W164" s="652"/>
      <c r="X164" s="652"/>
      <c r="Y164" s="652"/>
      <c r="Z164" s="652"/>
      <c r="AA164" s="652"/>
      <c r="AB164" s="652"/>
      <c r="AC164" s="652"/>
      <c r="AD164" s="652"/>
      <c r="AE164" s="652"/>
      <c r="AF164" s="652"/>
      <c r="AG164" s="652"/>
      <c r="AH164" s="652"/>
      <c r="AI164" s="652"/>
      <c r="AJ164" s="652"/>
      <c r="AK164" s="652"/>
      <c r="AL164" s="652"/>
      <c r="AM164" s="652"/>
    </row>
    <row r="165" spans="1:39" hidden="1" x14ac:dyDescent="0.2">
      <c r="A165" s="652"/>
      <c r="B165" s="652"/>
      <c r="C165" s="652"/>
      <c r="D165" s="652"/>
      <c r="E165" s="652"/>
      <c r="F165" s="652"/>
      <c r="G165" s="652"/>
      <c r="H165" s="652"/>
      <c r="I165" s="652"/>
      <c r="J165" s="652"/>
      <c r="K165" s="652"/>
      <c r="L165" s="652"/>
      <c r="M165" s="652"/>
      <c r="N165" s="652"/>
      <c r="O165" s="652"/>
      <c r="P165" s="652"/>
      <c r="Q165" s="652"/>
      <c r="R165" s="652"/>
      <c r="S165" s="652"/>
      <c r="T165" s="652"/>
      <c r="U165" s="652"/>
      <c r="V165" s="652"/>
      <c r="W165" s="652"/>
      <c r="X165" s="652"/>
      <c r="Y165" s="652"/>
      <c r="Z165" s="652"/>
      <c r="AA165" s="652"/>
      <c r="AB165" s="652"/>
      <c r="AC165" s="652"/>
      <c r="AD165" s="652"/>
      <c r="AE165" s="652"/>
      <c r="AF165" s="652"/>
      <c r="AG165" s="652"/>
      <c r="AH165" s="652"/>
      <c r="AI165" s="652"/>
      <c r="AJ165" s="652"/>
      <c r="AK165" s="652"/>
      <c r="AL165" s="652"/>
      <c r="AM165" s="652"/>
    </row>
    <row r="166" spans="1:39" hidden="1" x14ac:dyDescent="0.2">
      <c r="A166" s="652"/>
      <c r="B166" s="652"/>
      <c r="C166" s="652"/>
      <c r="D166" s="652"/>
      <c r="E166" s="652"/>
      <c r="F166" s="652"/>
      <c r="G166" s="652"/>
      <c r="H166" s="652"/>
      <c r="I166" s="652"/>
      <c r="J166" s="652"/>
      <c r="K166" s="652"/>
      <c r="L166" s="657"/>
      <c r="M166" s="657"/>
      <c r="N166" s="657"/>
      <c r="O166" s="652"/>
      <c r="P166" s="652"/>
      <c r="Q166" s="652"/>
      <c r="R166" s="652"/>
      <c r="S166" s="652"/>
      <c r="T166" s="657"/>
      <c r="U166" s="657"/>
      <c r="V166" s="657"/>
      <c r="W166" s="652"/>
      <c r="X166" s="652"/>
      <c r="Y166" s="652"/>
      <c r="Z166" s="652"/>
      <c r="AA166" s="652"/>
      <c r="AB166" s="652"/>
      <c r="AC166" s="652"/>
      <c r="AD166" s="652"/>
      <c r="AE166" s="652"/>
      <c r="AF166" s="652"/>
      <c r="AG166" s="652"/>
      <c r="AH166" s="652"/>
      <c r="AI166" s="652"/>
      <c r="AJ166" s="652"/>
      <c r="AK166" s="652"/>
      <c r="AL166" s="652"/>
      <c r="AM166" s="652"/>
    </row>
    <row r="167" spans="1:39" hidden="1" x14ac:dyDescent="0.2">
      <c r="A167" s="652"/>
      <c r="B167" s="652"/>
      <c r="C167" s="652"/>
      <c r="D167" s="652"/>
      <c r="E167" s="652"/>
      <c r="F167" s="652"/>
      <c r="G167" s="652"/>
      <c r="H167" s="652"/>
      <c r="I167" s="652"/>
      <c r="J167" s="652"/>
      <c r="K167" s="652"/>
      <c r="L167" s="657"/>
      <c r="M167" s="657"/>
      <c r="N167" s="657"/>
      <c r="O167" s="652"/>
      <c r="P167" s="652"/>
      <c r="Q167" s="652"/>
      <c r="R167" s="652"/>
      <c r="S167" s="652"/>
      <c r="T167" s="657"/>
      <c r="U167" s="657"/>
      <c r="V167" s="657"/>
      <c r="W167" s="652"/>
      <c r="X167" s="652"/>
      <c r="Y167" s="652"/>
      <c r="Z167" s="652"/>
      <c r="AA167" s="652"/>
      <c r="AB167" s="652"/>
      <c r="AC167" s="652"/>
      <c r="AD167" s="652"/>
      <c r="AE167" s="652"/>
      <c r="AF167" s="652"/>
      <c r="AG167" s="652"/>
      <c r="AH167" s="652"/>
      <c r="AI167" s="652"/>
      <c r="AJ167" s="652"/>
      <c r="AK167" s="652"/>
      <c r="AL167" s="652"/>
      <c r="AM167" s="652"/>
    </row>
    <row r="168" spans="1:39" hidden="1" x14ac:dyDescent="0.2">
      <c r="A168" s="652"/>
      <c r="B168" s="652"/>
      <c r="C168" s="652"/>
      <c r="D168" s="652"/>
      <c r="E168" s="652"/>
      <c r="F168" s="652"/>
      <c r="G168" s="652"/>
      <c r="H168" s="652"/>
      <c r="I168" s="652"/>
      <c r="J168" s="652"/>
      <c r="K168" s="652"/>
      <c r="L168" s="657"/>
      <c r="M168" s="657"/>
      <c r="N168" s="657"/>
      <c r="O168" s="652"/>
      <c r="P168" s="652"/>
      <c r="Q168" s="652"/>
      <c r="R168" s="652"/>
      <c r="S168" s="652"/>
      <c r="T168" s="657"/>
      <c r="U168" s="657"/>
      <c r="V168" s="657"/>
      <c r="W168" s="652"/>
      <c r="X168" s="652"/>
      <c r="Y168" s="652"/>
      <c r="Z168" s="652"/>
      <c r="AA168" s="652"/>
      <c r="AB168" s="652"/>
      <c r="AC168" s="652"/>
      <c r="AD168" s="652"/>
      <c r="AE168" s="652"/>
      <c r="AF168" s="652"/>
      <c r="AG168" s="652"/>
      <c r="AH168" s="652"/>
      <c r="AI168" s="652"/>
      <c r="AJ168" s="652"/>
      <c r="AK168" s="652"/>
      <c r="AL168" s="652"/>
      <c r="AM168" s="652"/>
    </row>
    <row r="169" spans="1:39" hidden="1" x14ac:dyDescent="0.2">
      <c r="A169" s="652"/>
      <c r="B169" s="652"/>
      <c r="C169" s="652"/>
      <c r="D169" s="652"/>
      <c r="E169" s="652"/>
      <c r="F169" s="652"/>
      <c r="G169" s="652"/>
      <c r="H169" s="652"/>
      <c r="I169" s="652"/>
      <c r="J169" s="652"/>
      <c r="K169" s="652"/>
      <c r="L169" s="657"/>
      <c r="M169" s="657"/>
      <c r="N169" s="657"/>
      <c r="O169" s="652"/>
      <c r="P169" s="652"/>
      <c r="Q169" s="652"/>
      <c r="R169" s="652"/>
      <c r="S169" s="652"/>
      <c r="T169" s="657"/>
      <c r="U169" s="657"/>
      <c r="V169" s="657"/>
      <c r="W169" s="652"/>
      <c r="X169" s="652"/>
      <c r="Y169" s="652"/>
      <c r="Z169" s="652"/>
      <c r="AA169" s="652"/>
      <c r="AB169" s="652"/>
      <c r="AC169" s="652"/>
      <c r="AD169" s="652"/>
      <c r="AE169" s="652"/>
      <c r="AF169" s="652"/>
      <c r="AG169" s="652"/>
      <c r="AH169" s="652"/>
      <c r="AI169" s="652"/>
      <c r="AJ169" s="652"/>
      <c r="AK169" s="652"/>
      <c r="AL169" s="652"/>
      <c r="AM169" s="652"/>
    </row>
    <row r="170" spans="1:39" hidden="1" x14ac:dyDescent="0.2">
      <c r="A170" s="652"/>
      <c r="B170" s="652"/>
      <c r="C170" s="652"/>
      <c r="D170" s="652"/>
      <c r="E170" s="652"/>
      <c r="F170" s="652"/>
      <c r="G170" s="652"/>
      <c r="H170" s="652"/>
      <c r="I170" s="652"/>
      <c r="J170" s="652"/>
      <c r="K170" s="652"/>
      <c r="L170" s="657"/>
      <c r="M170" s="657"/>
      <c r="N170" s="657"/>
      <c r="O170" s="652"/>
      <c r="P170" s="652"/>
      <c r="Q170" s="652"/>
      <c r="R170" s="652"/>
      <c r="S170" s="652"/>
      <c r="T170" s="657"/>
      <c r="U170" s="657"/>
      <c r="V170" s="657"/>
      <c r="W170" s="652"/>
      <c r="X170" s="652"/>
      <c r="Y170" s="652"/>
      <c r="Z170" s="652"/>
      <c r="AA170" s="652"/>
      <c r="AB170" s="652"/>
      <c r="AC170" s="652"/>
      <c r="AD170" s="652"/>
      <c r="AE170" s="652"/>
      <c r="AF170" s="652"/>
      <c r="AG170" s="652"/>
      <c r="AH170" s="652"/>
      <c r="AI170" s="652"/>
      <c r="AJ170" s="652"/>
      <c r="AK170" s="652"/>
      <c r="AL170" s="652"/>
      <c r="AM170" s="652"/>
    </row>
    <row r="171" spans="1:39" hidden="1" x14ac:dyDescent="0.2">
      <c r="A171" s="652"/>
      <c r="B171" s="652"/>
      <c r="C171" s="652"/>
      <c r="D171" s="652"/>
      <c r="E171" s="652"/>
      <c r="F171" s="652"/>
      <c r="G171" s="652"/>
      <c r="H171" s="652"/>
      <c r="I171" s="652"/>
      <c r="J171" s="652"/>
      <c r="K171" s="652"/>
      <c r="L171" s="657"/>
      <c r="M171" s="657"/>
      <c r="N171" s="657"/>
      <c r="O171" s="652"/>
      <c r="P171" s="652"/>
      <c r="Q171" s="652"/>
      <c r="R171" s="652"/>
      <c r="S171" s="652"/>
      <c r="T171" s="657"/>
      <c r="U171" s="657"/>
      <c r="V171" s="657"/>
      <c r="W171" s="652"/>
      <c r="X171" s="652"/>
      <c r="Y171" s="652"/>
      <c r="Z171" s="652"/>
      <c r="AA171" s="652"/>
      <c r="AB171" s="652"/>
      <c r="AC171" s="652"/>
      <c r="AD171" s="652"/>
      <c r="AE171" s="652"/>
      <c r="AF171" s="652"/>
      <c r="AG171" s="652"/>
      <c r="AH171" s="652"/>
      <c r="AI171" s="652"/>
      <c r="AJ171" s="652"/>
      <c r="AK171" s="652"/>
      <c r="AL171" s="652"/>
      <c r="AM171" s="652"/>
    </row>
    <row r="172" spans="1:39" hidden="1" x14ac:dyDescent="0.2">
      <c r="A172" s="652"/>
      <c r="B172" s="652"/>
      <c r="C172" s="652"/>
      <c r="D172" s="652"/>
      <c r="E172" s="652"/>
      <c r="F172" s="652"/>
      <c r="G172" s="652"/>
      <c r="H172" s="652"/>
      <c r="I172" s="652"/>
      <c r="J172" s="652"/>
      <c r="K172" s="652"/>
      <c r="L172" s="657"/>
      <c r="M172" s="657"/>
      <c r="N172" s="657"/>
      <c r="O172" s="652"/>
      <c r="P172" s="652"/>
      <c r="Q172" s="652"/>
      <c r="R172" s="652"/>
      <c r="S172" s="652"/>
      <c r="T172" s="657"/>
      <c r="U172" s="657"/>
      <c r="V172" s="657"/>
      <c r="W172" s="652"/>
      <c r="X172" s="652"/>
      <c r="Y172" s="652"/>
      <c r="Z172" s="652"/>
      <c r="AA172" s="652"/>
      <c r="AB172" s="652"/>
      <c r="AC172" s="652"/>
      <c r="AD172" s="652"/>
      <c r="AE172" s="652"/>
      <c r="AF172" s="652"/>
      <c r="AG172" s="652"/>
      <c r="AH172" s="652"/>
      <c r="AI172" s="652"/>
      <c r="AJ172" s="652"/>
      <c r="AK172" s="652"/>
      <c r="AL172" s="652"/>
      <c r="AM172" s="652"/>
    </row>
    <row r="173" spans="1:39" hidden="1" x14ac:dyDescent="0.2">
      <c r="A173" s="652"/>
      <c r="B173" s="652"/>
      <c r="C173" s="652"/>
      <c r="D173" s="652"/>
      <c r="E173" s="652"/>
      <c r="F173" s="652"/>
      <c r="G173" s="652"/>
      <c r="H173" s="652"/>
      <c r="I173" s="652"/>
      <c r="J173" s="652"/>
      <c r="K173" s="652"/>
      <c r="L173" s="657"/>
      <c r="M173" s="657"/>
      <c r="N173" s="657"/>
      <c r="O173" s="652"/>
      <c r="P173" s="652"/>
      <c r="Q173" s="652"/>
      <c r="R173" s="652"/>
      <c r="S173" s="652"/>
      <c r="T173" s="657"/>
      <c r="U173" s="657"/>
      <c r="V173" s="657"/>
      <c r="W173" s="652"/>
      <c r="X173" s="652"/>
      <c r="Y173" s="652"/>
      <c r="Z173" s="652"/>
      <c r="AA173" s="652"/>
      <c r="AB173" s="652"/>
      <c r="AC173" s="652"/>
      <c r="AD173" s="652"/>
      <c r="AE173" s="652"/>
      <c r="AF173" s="652"/>
      <c r="AG173" s="652"/>
      <c r="AH173" s="652"/>
      <c r="AI173" s="652"/>
      <c r="AJ173" s="652"/>
      <c r="AK173" s="652"/>
      <c r="AL173" s="652"/>
      <c r="AM173" s="652"/>
    </row>
    <row r="174" spans="1:39"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652"/>
      <c r="AF174" s="652"/>
      <c r="AG174" s="652"/>
      <c r="AH174" s="652"/>
      <c r="AI174" s="652"/>
      <c r="AJ174" s="652"/>
      <c r="AK174" s="652"/>
      <c r="AL174" s="652"/>
      <c r="AM174" s="652"/>
    </row>
    <row r="175" spans="1:39"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652"/>
      <c r="AF175" s="652"/>
      <c r="AG175" s="652"/>
      <c r="AH175" s="652"/>
      <c r="AI175" s="652"/>
      <c r="AJ175" s="652"/>
      <c r="AK175" s="652"/>
      <c r="AL175" s="652"/>
      <c r="AM175" s="652"/>
    </row>
    <row r="176" spans="1:39"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c r="AI284" s="652"/>
      <c r="AJ284" s="652"/>
      <c r="AK284" s="652"/>
      <c r="AL284" s="652"/>
      <c r="AM284" s="652"/>
    </row>
    <row r="285" spans="1:39"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c r="AH285" s="652"/>
      <c r="AI285" s="652"/>
      <c r="AJ285" s="652"/>
      <c r="AK285" s="652"/>
      <c r="AL285" s="652"/>
      <c r="AM285" s="652"/>
    </row>
    <row r="286" spans="1:39" hidden="1" x14ac:dyDescent="0.2">
      <c r="A286" s="652"/>
      <c r="B286" s="652"/>
      <c r="C286" s="652"/>
      <c r="D286" s="652"/>
      <c r="E286" s="652"/>
      <c r="F286" s="652"/>
      <c r="G286" s="652"/>
      <c r="H286" s="652"/>
      <c r="I286" s="652"/>
      <c r="J286" s="652"/>
      <c r="K286" s="652"/>
      <c r="L286" s="657"/>
      <c r="M286" s="657"/>
      <c r="N286" s="657"/>
      <c r="O286" s="652"/>
      <c r="P286" s="652"/>
      <c r="Q286" s="652"/>
      <c r="R286" s="652"/>
      <c r="S286" s="652"/>
      <c r="T286" s="657"/>
      <c r="U286" s="657"/>
      <c r="V286" s="657"/>
      <c r="W286" s="652"/>
      <c r="X286" s="652"/>
      <c r="Y286" s="652"/>
      <c r="Z286" s="652"/>
      <c r="AA286" s="652"/>
      <c r="AB286" s="652"/>
      <c r="AC286" s="652"/>
      <c r="AD286" s="652"/>
      <c r="AE286" s="652"/>
      <c r="AF286" s="652"/>
      <c r="AG286" s="652"/>
      <c r="AH286" s="652"/>
      <c r="AI286" s="652"/>
      <c r="AJ286" s="652"/>
      <c r="AK286" s="652"/>
      <c r="AL286" s="652"/>
      <c r="AM286" s="652"/>
    </row>
    <row r="287" spans="1:39" hidden="1" x14ac:dyDescent="0.2">
      <c r="A287" s="652"/>
      <c r="B287" s="652"/>
      <c r="C287" s="652"/>
      <c r="D287" s="652"/>
      <c r="E287" s="652"/>
      <c r="F287" s="652"/>
      <c r="G287" s="652"/>
      <c r="H287" s="652"/>
      <c r="I287" s="652"/>
      <c r="J287" s="652"/>
      <c r="K287" s="652"/>
      <c r="L287" s="657"/>
      <c r="M287" s="657"/>
      <c r="N287" s="657"/>
      <c r="O287" s="652"/>
      <c r="P287" s="652"/>
      <c r="Q287" s="652"/>
      <c r="R287" s="652"/>
      <c r="S287" s="652"/>
      <c r="T287" s="657"/>
      <c r="U287" s="657"/>
      <c r="V287" s="657"/>
      <c r="W287" s="652"/>
      <c r="X287" s="652"/>
      <c r="Y287" s="652"/>
      <c r="Z287" s="652"/>
      <c r="AA287" s="652"/>
      <c r="AB287" s="652"/>
      <c r="AC287" s="652"/>
      <c r="AD287" s="652"/>
      <c r="AE287" s="652"/>
      <c r="AF287" s="652"/>
      <c r="AG287" s="652"/>
      <c r="AH287" s="652"/>
      <c r="AI287" s="652"/>
      <c r="AJ287" s="652"/>
      <c r="AK287" s="652"/>
      <c r="AL287" s="652"/>
      <c r="AM287" s="652"/>
    </row>
    <row r="288" spans="1:39" hidden="1" x14ac:dyDescent="0.2">
      <c r="A288" s="652"/>
      <c r="B288" s="652"/>
      <c r="C288" s="652"/>
      <c r="D288" s="652"/>
      <c r="E288" s="652"/>
      <c r="F288" s="652"/>
      <c r="G288" s="652"/>
      <c r="H288" s="652"/>
      <c r="I288" s="652"/>
      <c r="J288" s="652"/>
      <c r="K288" s="652"/>
      <c r="L288" s="657"/>
      <c r="M288" s="657"/>
      <c r="N288" s="657"/>
      <c r="O288" s="652"/>
      <c r="P288" s="652"/>
      <c r="Q288" s="652"/>
      <c r="R288" s="652"/>
      <c r="S288" s="652"/>
      <c r="T288" s="657"/>
      <c r="U288" s="657"/>
      <c r="V288" s="657"/>
      <c r="W288" s="652"/>
      <c r="X288" s="652"/>
      <c r="Y288" s="652"/>
      <c r="Z288" s="652"/>
      <c r="AA288" s="652"/>
      <c r="AB288" s="652"/>
      <c r="AC288" s="652"/>
      <c r="AD288" s="652"/>
      <c r="AE288" s="652"/>
      <c r="AF288" s="652"/>
      <c r="AG288" s="652"/>
      <c r="AH288" s="652"/>
      <c r="AI288" s="652"/>
      <c r="AJ288" s="652"/>
      <c r="AK288" s="652"/>
      <c r="AL288" s="652"/>
      <c r="AM288" s="652"/>
    </row>
    <row r="289" spans="1:39" hidden="1" x14ac:dyDescent="0.2">
      <c r="G289" s="652"/>
      <c r="H289" s="652"/>
      <c r="I289" s="652"/>
      <c r="J289" s="652"/>
      <c r="K289" s="652"/>
      <c r="L289" s="652"/>
      <c r="M289" s="652"/>
      <c r="N289" s="652"/>
      <c r="O289" s="652"/>
      <c r="P289" s="652"/>
      <c r="Q289" s="652"/>
      <c r="R289" s="652"/>
      <c r="S289" s="652"/>
      <c r="T289" s="652"/>
      <c r="U289" s="652"/>
      <c r="V289" s="652"/>
      <c r="W289" s="652"/>
      <c r="X289" s="652"/>
      <c r="Y289" s="652"/>
      <c r="Z289" s="652"/>
      <c r="AA289" s="652"/>
      <c r="AB289" s="652"/>
      <c r="AC289" s="652"/>
      <c r="AD289" s="652"/>
      <c r="AE289" s="652"/>
      <c r="AF289" s="652"/>
      <c r="AG289" s="652"/>
      <c r="AH289" s="652"/>
      <c r="AI289" s="652"/>
      <c r="AJ289" s="652"/>
      <c r="AK289" s="652"/>
      <c r="AL289" s="652"/>
      <c r="AM289" s="652"/>
    </row>
    <row r="290" spans="1:39" hidden="1" x14ac:dyDescent="0.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c r="AI290" s="652"/>
      <c r="AJ290" s="652"/>
      <c r="AK290" s="652"/>
      <c r="AL290" s="652"/>
      <c r="AM290" s="652"/>
    </row>
    <row r="291" spans="1:39" hidden="1" x14ac:dyDescent="0.2">
      <c r="G291" s="652"/>
      <c r="H291" s="652"/>
      <c r="I291" s="652"/>
      <c r="J291" s="652"/>
      <c r="K291" s="652"/>
      <c r="L291" s="652"/>
      <c r="M291" s="652"/>
      <c r="N291" s="652"/>
      <c r="O291" s="652"/>
      <c r="P291" s="652"/>
      <c r="Q291" s="652"/>
      <c r="R291" s="652"/>
      <c r="S291" s="652"/>
      <c r="T291" s="652"/>
      <c r="U291" s="652"/>
      <c r="V291" s="652"/>
      <c r="W291" s="703"/>
      <c r="X291" s="652"/>
      <c r="Y291" s="652"/>
      <c r="Z291" s="652"/>
      <c r="AA291" s="652"/>
      <c r="AB291" s="652"/>
      <c r="AC291" s="652"/>
      <c r="AD291" s="652"/>
      <c r="AE291" s="652"/>
      <c r="AF291" s="652"/>
      <c r="AG291" s="652"/>
      <c r="AH291" s="652"/>
      <c r="AI291" s="652"/>
      <c r="AJ291" s="652"/>
      <c r="AK291" s="652"/>
      <c r="AL291" s="652"/>
      <c r="AM291" s="652"/>
    </row>
    <row r="292" spans="1:39" hidden="1" x14ac:dyDescent="0.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652"/>
      <c r="AF292" s="652"/>
      <c r="AG292" s="652"/>
      <c r="AH292" s="652"/>
      <c r="AI292" s="652"/>
      <c r="AJ292" s="652"/>
      <c r="AK292" s="652"/>
      <c r="AL292" s="652"/>
      <c r="AM292" s="652"/>
    </row>
    <row r="293" spans="1:39" hidden="1" x14ac:dyDescent="0.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652"/>
      <c r="AI293" s="652"/>
      <c r="AJ293" s="652"/>
      <c r="AK293" s="652"/>
      <c r="AL293" s="652"/>
      <c r="AM293" s="652"/>
    </row>
    <row r="294" spans="1:39" hidden="1" x14ac:dyDescent="0.2">
      <c r="G294" s="652"/>
      <c r="H294" s="652"/>
      <c r="I294" s="652"/>
      <c r="J294" s="652"/>
      <c r="K294" s="652"/>
      <c r="L294" s="652"/>
      <c r="M294" s="652"/>
      <c r="N294" s="652"/>
      <c r="O294" s="652"/>
      <c r="P294" s="652"/>
      <c r="Q294" s="652"/>
      <c r="R294" s="652"/>
      <c r="S294" s="652"/>
      <c r="T294" s="652"/>
      <c r="U294" s="652"/>
      <c r="V294" s="652"/>
      <c r="W294" s="652"/>
      <c r="X294" s="652"/>
      <c r="Y294" s="652"/>
      <c r="Z294" s="652"/>
      <c r="AA294" s="652"/>
      <c r="AB294" s="652"/>
      <c r="AC294" s="652"/>
      <c r="AD294" s="652"/>
      <c r="AE294" s="652"/>
      <c r="AF294" s="652"/>
      <c r="AG294" s="652"/>
      <c r="AH294" s="652"/>
      <c r="AI294" s="652"/>
      <c r="AJ294" s="652"/>
      <c r="AK294" s="652"/>
      <c r="AL294" s="652"/>
      <c r="AM294" s="652"/>
    </row>
    <row r="295" spans="1:39" hidden="1" x14ac:dyDescent="0.2">
      <c r="G295" s="652"/>
      <c r="H295" s="652"/>
      <c r="I295" s="65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652"/>
      <c r="AF295" s="652"/>
      <c r="AG295" s="652"/>
      <c r="AH295" s="652"/>
      <c r="AI295" s="652"/>
      <c r="AJ295" s="652"/>
      <c r="AK295" s="652"/>
      <c r="AL295" s="652"/>
      <c r="AM295" s="652"/>
    </row>
    <row r="296" spans="1:39" hidden="1" x14ac:dyDescent="0.2">
      <c r="G296" s="652"/>
      <c r="H296" s="652"/>
      <c r="I296" s="652"/>
      <c r="J296" s="652"/>
      <c r="K296" s="652"/>
      <c r="L296" s="652"/>
      <c r="M296" s="652"/>
      <c r="N296" s="652"/>
      <c r="O296" s="652"/>
      <c r="P296" s="652"/>
      <c r="Q296" s="652"/>
      <c r="R296" s="652"/>
      <c r="S296" s="652"/>
      <c r="T296" s="652"/>
      <c r="U296" s="652"/>
      <c r="V296" s="652"/>
      <c r="W296" s="703"/>
      <c r="X296" s="652"/>
      <c r="Y296" s="652"/>
      <c r="Z296" s="652"/>
      <c r="AA296" s="652"/>
      <c r="AB296" s="652"/>
      <c r="AC296" s="652"/>
      <c r="AD296" s="652"/>
      <c r="AE296" s="652"/>
      <c r="AF296" s="652"/>
      <c r="AG296" s="652"/>
      <c r="AH296" s="652"/>
      <c r="AI296" s="652"/>
      <c r="AJ296" s="652"/>
      <c r="AK296" s="652"/>
      <c r="AL296" s="652"/>
      <c r="AM296" s="652"/>
    </row>
    <row r="297" spans="1:39" hidden="1" x14ac:dyDescent="0.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652"/>
      <c r="AF297" s="652"/>
      <c r="AG297" s="652"/>
      <c r="AH297" s="652"/>
      <c r="AI297" s="652"/>
      <c r="AJ297" s="652"/>
      <c r="AK297" s="652"/>
      <c r="AL297" s="652"/>
      <c r="AM297" s="652"/>
    </row>
    <row r="298" spans="1:39" x14ac:dyDescent="0.2">
      <c r="G298" s="652"/>
      <c r="H298" s="652"/>
      <c r="I298" s="652"/>
      <c r="J298" s="652"/>
      <c r="K298" s="652"/>
      <c r="L298" s="652"/>
      <c r="M298" s="652"/>
      <c r="N298" s="652"/>
      <c r="O298" s="652"/>
      <c r="P298" s="652"/>
      <c r="Q298" s="652"/>
      <c r="R298" s="652"/>
      <c r="S298" s="652"/>
      <c r="T298" s="652"/>
      <c r="U298" s="652"/>
      <c r="V298" s="652"/>
      <c r="W298" s="652"/>
      <c r="X298" s="652"/>
      <c r="Y298" s="652"/>
      <c r="Z298" s="652"/>
      <c r="AA298" s="652"/>
      <c r="AB298" s="652"/>
      <c r="AC298" s="652"/>
      <c r="AD298" s="652"/>
      <c r="AE298" s="652"/>
      <c r="AF298" s="652"/>
      <c r="AG298" s="652"/>
      <c r="AH298" s="652"/>
      <c r="AI298" s="652"/>
      <c r="AJ298" s="652"/>
      <c r="AK298" s="652"/>
      <c r="AL298" s="652"/>
      <c r="AM298" s="652"/>
    </row>
    <row r="299" spans="1:39" x14ac:dyDescent="0.2">
      <c r="A299" s="652"/>
      <c r="B299" s="652"/>
      <c r="C299" s="697" t="s">
        <v>182</v>
      </c>
      <c r="D299" s="698"/>
      <c r="E299" s="698"/>
      <c r="F299" s="698" t="s">
        <v>199</v>
      </c>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c r="AH299" s="652"/>
      <c r="AI299" s="652"/>
      <c r="AJ299" s="652"/>
      <c r="AK299" s="652"/>
      <c r="AL299" s="652"/>
      <c r="AM299" s="652"/>
    </row>
    <row r="300" spans="1:39" x14ac:dyDescent="0.2">
      <c r="A300" s="699">
        <v>1</v>
      </c>
      <c r="B300" s="700" t="str">
        <f t="shared" ref="B300:B313" si="10">IFERROR(INDEX(B$1:B$90,MATCH(A300,A$1:A$90,0)),"")</f>
        <v>Ivar Viljaste, Matti Vinni</v>
      </c>
      <c r="C300" s="701">
        <f t="shared" ref="C300:C313" si="11">IF(21-A300&gt;0,IF(OR(A300=A301,A299=A300),21-A300-0.5,21-A300),1)</f>
        <v>20</v>
      </c>
      <c r="D300" s="702"/>
      <c r="E300" s="702"/>
      <c r="F300" s="711">
        <v>5</v>
      </c>
      <c r="G300" s="652"/>
      <c r="H300" s="652"/>
      <c r="I300" s="652"/>
      <c r="J300" s="652"/>
      <c r="K300" s="652"/>
      <c r="L300" s="652"/>
      <c r="M300" s="652"/>
      <c r="N300" s="652"/>
      <c r="O300" s="652"/>
      <c r="P300" s="652"/>
      <c r="Q300" s="652"/>
      <c r="R300" s="652"/>
      <c r="S300" s="652"/>
      <c r="T300" s="652"/>
      <c r="U300" s="652"/>
      <c r="V300" s="652"/>
      <c r="W300" s="652"/>
      <c r="X300" s="652"/>
      <c r="Y300" s="652"/>
      <c r="Z300" s="652"/>
      <c r="AA300" s="652"/>
      <c r="AB300" s="652"/>
      <c r="AC300" s="652"/>
      <c r="AD300" s="652"/>
      <c r="AE300" s="652"/>
      <c r="AF300" s="652"/>
      <c r="AG300" s="652"/>
      <c r="AH300" s="652"/>
      <c r="AI300" s="652"/>
      <c r="AJ300" s="652"/>
      <c r="AK300" s="652"/>
      <c r="AL300" s="652"/>
      <c r="AM300" s="652"/>
    </row>
    <row r="301" spans="1:39" x14ac:dyDescent="0.2">
      <c r="A301" s="699">
        <v>2</v>
      </c>
      <c r="B301" s="700" t="str">
        <f t="shared" si="10"/>
        <v>Oksana Rõndenkova, Oleg Rõndenkov</v>
      </c>
      <c r="C301" s="701">
        <f t="shared" si="11"/>
        <v>19</v>
      </c>
      <c r="D301" s="653"/>
      <c r="E301" s="653"/>
      <c r="F301" s="711">
        <v>4</v>
      </c>
      <c r="G301" s="652"/>
      <c r="H301" s="652"/>
      <c r="I301" s="652"/>
      <c r="J301" s="652"/>
      <c r="K301" s="652"/>
      <c r="L301" s="652"/>
      <c r="M301" s="652"/>
      <c r="N301" s="652"/>
      <c r="O301" s="652"/>
      <c r="P301" s="652"/>
      <c r="Q301" s="652"/>
      <c r="R301" s="652"/>
      <c r="S301" s="652"/>
      <c r="T301" s="652"/>
      <c r="U301" s="652"/>
      <c r="V301" s="652"/>
      <c r="W301" s="652"/>
      <c r="X301" s="652"/>
      <c r="Y301" s="652"/>
      <c r="Z301" s="652"/>
      <c r="AA301" s="652"/>
      <c r="AB301" s="652"/>
      <c r="AC301" s="652"/>
      <c r="AD301" s="652"/>
      <c r="AE301" s="652"/>
      <c r="AF301" s="652"/>
      <c r="AG301" s="652"/>
      <c r="AH301" s="652"/>
      <c r="AI301" s="652"/>
      <c r="AJ301" s="652"/>
      <c r="AK301" s="652"/>
      <c r="AL301" s="652"/>
      <c r="AM301" s="652"/>
    </row>
    <row r="302" spans="1:39" x14ac:dyDescent="0.2">
      <c r="A302" s="699">
        <v>3</v>
      </c>
      <c r="B302" s="700" t="str">
        <f t="shared" si="10"/>
        <v>Enn Tokman, Tarmo Bombe</v>
      </c>
      <c r="C302" s="701">
        <f t="shared" si="11"/>
        <v>18</v>
      </c>
      <c r="D302" s="653"/>
      <c r="E302" s="653"/>
      <c r="F302" s="711">
        <v>3.5</v>
      </c>
      <c r="G302" s="652"/>
      <c r="H302" s="652"/>
      <c r="I302" s="652"/>
      <c r="J302" s="652"/>
      <c r="K302" s="652"/>
      <c r="L302" s="652"/>
      <c r="M302" s="652"/>
      <c r="N302" s="652"/>
      <c r="O302" s="652"/>
      <c r="P302" s="652"/>
      <c r="Q302" s="652"/>
      <c r="R302" s="652"/>
      <c r="S302" s="652"/>
      <c r="T302" s="652"/>
      <c r="U302" s="652"/>
      <c r="V302" s="652"/>
      <c r="W302" s="652"/>
      <c r="X302" s="652"/>
      <c r="Y302" s="652"/>
      <c r="Z302" s="652"/>
      <c r="AA302" s="652"/>
      <c r="AB302" s="652"/>
      <c r="AC302" s="652"/>
      <c r="AD302" s="652"/>
      <c r="AE302" s="652"/>
      <c r="AF302" s="652"/>
      <c r="AG302" s="652"/>
      <c r="AH302" s="652"/>
      <c r="AI302" s="652"/>
      <c r="AJ302" s="652"/>
      <c r="AK302" s="652"/>
      <c r="AL302" s="652"/>
      <c r="AM302" s="652"/>
    </row>
    <row r="303" spans="1:39" x14ac:dyDescent="0.2">
      <c r="A303" s="699">
        <v>4</v>
      </c>
      <c r="B303" s="700" t="str">
        <f t="shared" si="10"/>
        <v>Elmo Lageda, Tõnu Piik</v>
      </c>
      <c r="C303" s="701">
        <f t="shared" si="11"/>
        <v>17</v>
      </c>
      <c r="D303" s="653"/>
      <c r="E303" s="653"/>
      <c r="F303" s="711">
        <v>3</v>
      </c>
    </row>
    <row r="304" spans="1:39" x14ac:dyDescent="0.2">
      <c r="A304" s="699">
        <v>5</v>
      </c>
      <c r="B304" s="700" t="str">
        <f t="shared" si="10"/>
        <v>Jaan Sepp, Oskar Sepp</v>
      </c>
      <c r="C304" s="701">
        <f t="shared" si="11"/>
        <v>16</v>
      </c>
      <c r="D304" s="653"/>
      <c r="E304" s="653"/>
      <c r="F304" s="711">
        <v>3</v>
      </c>
    </row>
    <row r="305" spans="1:6" x14ac:dyDescent="0.2">
      <c r="A305" s="699">
        <v>6</v>
      </c>
      <c r="B305" s="700" t="str">
        <f t="shared" si="10"/>
        <v>Karla Purgats, Lemmit Toomra</v>
      </c>
      <c r="C305" s="701">
        <f t="shared" si="11"/>
        <v>15</v>
      </c>
      <c r="D305" s="653"/>
      <c r="E305" s="653"/>
      <c r="F305" s="711">
        <v>3</v>
      </c>
    </row>
    <row r="306" spans="1:6" x14ac:dyDescent="0.2">
      <c r="A306" s="699">
        <v>7</v>
      </c>
      <c r="B306" s="700" t="str">
        <f t="shared" si="10"/>
        <v>Kenneth Muusikus, Mait Metsla</v>
      </c>
      <c r="C306" s="701">
        <f t="shared" si="11"/>
        <v>14</v>
      </c>
      <c r="D306" s="653"/>
      <c r="E306" s="653"/>
      <c r="F306" s="711">
        <v>3</v>
      </c>
    </row>
    <row r="307" spans="1:6" x14ac:dyDescent="0.2">
      <c r="A307" s="699">
        <v>8</v>
      </c>
      <c r="B307" s="700" t="str">
        <f t="shared" si="10"/>
        <v>Meelis Luud, Sander Rose</v>
      </c>
      <c r="C307" s="701">
        <f t="shared" si="11"/>
        <v>13</v>
      </c>
      <c r="D307" s="653"/>
      <c r="E307" s="653"/>
      <c r="F307" s="711">
        <v>2.5</v>
      </c>
    </row>
    <row r="308" spans="1:6" x14ac:dyDescent="0.2">
      <c r="A308" s="699">
        <v>9</v>
      </c>
      <c r="B308" s="700" t="str">
        <f t="shared" si="10"/>
        <v>Andrei Grintšak, Boriss Klubov</v>
      </c>
      <c r="C308" s="701">
        <f t="shared" si="11"/>
        <v>12</v>
      </c>
      <c r="D308" s="653"/>
      <c r="E308" s="653"/>
      <c r="F308" s="711">
        <v>2</v>
      </c>
    </row>
    <row r="309" spans="1:6" x14ac:dyDescent="0.2">
      <c r="A309" s="699">
        <v>10</v>
      </c>
      <c r="B309" s="700" t="str">
        <f t="shared" si="10"/>
        <v>Andres Veski, Kaspar Mänd</v>
      </c>
      <c r="C309" s="701">
        <f t="shared" si="11"/>
        <v>11</v>
      </c>
      <c r="D309" s="653"/>
      <c r="E309" s="653"/>
      <c r="F309" s="652">
        <v>2</v>
      </c>
    </row>
    <row r="310" spans="1:6" x14ac:dyDescent="0.2">
      <c r="A310" s="699">
        <v>11</v>
      </c>
      <c r="B310" s="700" t="str">
        <f t="shared" si="10"/>
        <v>Heili Vasser, Vello Vasser</v>
      </c>
      <c r="C310" s="701">
        <f t="shared" si="11"/>
        <v>10</v>
      </c>
      <c r="D310" s="652"/>
      <c r="E310" s="652"/>
      <c r="F310" s="652">
        <v>2</v>
      </c>
    </row>
    <row r="311" spans="1:6" x14ac:dyDescent="0.2">
      <c r="A311" s="699">
        <v>12</v>
      </c>
      <c r="B311" s="700" t="str">
        <f t="shared" si="10"/>
        <v>Illar Tõnurist, Jaan Saar</v>
      </c>
      <c r="C311" s="701">
        <f t="shared" si="11"/>
        <v>9</v>
      </c>
      <c r="D311" s="652"/>
      <c r="E311" s="652"/>
      <c r="F311" s="652">
        <v>1</v>
      </c>
    </row>
    <row r="312" spans="1:6" x14ac:dyDescent="0.2">
      <c r="A312" s="699">
        <v>13</v>
      </c>
      <c r="B312" s="700" t="str">
        <f t="shared" si="10"/>
        <v>Liidia Põllu, Vladimir Ogneštšikov</v>
      </c>
      <c r="C312" s="701">
        <f t="shared" si="11"/>
        <v>8</v>
      </c>
      <c r="D312" s="652"/>
      <c r="E312" s="652"/>
      <c r="F312" s="652">
        <v>1</v>
      </c>
    </row>
    <row r="313" spans="1:6" x14ac:dyDescent="0.2">
      <c r="A313" s="699">
        <v>14</v>
      </c>
      <c r="B313" s="700" t="str">
        <f t="shared" si="10"/>
        <v>Jüri Mironjuk, Tõnu Kapper</v>
      </c>
      <c r="C313" s="701">
        <f t="shared" si="11"/>
        <v>7</v>
      </c>
      <c r="F313" s="653">
        <v>0</v>
      </c>
    </row>
  </sheetData>
  <conditionalFormatting sqref="C8:C21">
    <cfRule type="expression" dxfId="355" priority="18">
      <formula>IF($C8&gt;$E8,TRUE)</formula>
    </cfRule>
  </conditionalFormatting>
  <conditionalFormatting sqref="E8:E21">
    <cfRule type="expression" dxfId="354" priority="19">
      <formula>IF($C8&lt;$E8,TRUE)</formula>
    </cfRule>
  </conditionalFormatting>
  <conditionalFormatting sqref="K8:K21">
    <cfRule type="expression" dxfId="353" priority="26">
      <formula>IF($K8&gt;$M8,TRUE)</formula>
    </cfRule>
  </conditionalFormatting>
  <conditionalFormatting sqref="M8:M21">
    <cfRule type="expression" dxfId="352" priority="27">
      <formula>IF($K8&lt;$M8,TRUE)</formula>
    </cfRule>
  </conditionalFormatting>
  <conditionalFormatting sqref="O8:O21">
    <cfRule type="expression" dxfId="351" priority="30">
      <formula>IF($O8&gt;$Q8,TRUE)</formula>
    </cfRule>
  </conditionalFormatting>
  <conditionalFormatting sqref="Q8:Q21">
    <cfRule type="expression" dxfId="350" priority="31">
      <formula>IF($O8&lt;$Q8,TRUE)</formula>
    </cfRule>
  </conditionalFormatting>
  <conditionalFormatting sqref="S8:S21">
    <cfRule type="expression" dxfId="349" priority="34">
      <formula>IF($S8&gt;$U8,TRUE)</formula>
    </cfRule>
  </conditionalFormatting>
  <conditionalFormatting sqref="U8:U21">
    <cfRule type="expression" dxfId="348" priority="35">
      <formula>IF($S8&lt;$U8,TRUE)</formula>
    </cfRule>
  </conditionalFormatting>
  <conditionalFormatting sqref="G8:G21">
    <cfRule type="expression" dxfId="347" priority="22">
      <formula>IF($G8&gt;$I8,TRUE)</formula>
    </cfRule>
  </conditionalFormatting>
  <conditionalFormatting sqref="I8:I21">
    <cfRule type="expression" dxfId="346" priority="23">
      <formula>IF($G8&lt;$I8,TRUE)</formula>
    </cfRule>
  </conditionalFormatting>
  <conditionalFormatting sqref="F8:F21">
    <cfRule type="containsText" dxfId="345" priority="9" operator="containsText" text="vaba voor">
      <formula>NOT(ISERROR(SEARCH("vaba voor",F8)))</formula>
    </cfRule>
  </conditionalFormatting>
  <conditionalFormatting sqref="N8:N21">
    <cfRule type="containsText" dxfId="344" priority="7" operator="containsText" text="vaba voor">
      <formula>NOT(ISERROR(SEARCH("vaba voor",N8)))</formula>
    </cfRule>
  </conditionalFormatting>
  <conditionalFormatting sqref="R8:R21">
    <cfRule type="containsText" dxfId="343" priority="10" operator="containsText" text="vaba voor">
      <formula>NOT(ISERROR(SEARCH("vaba voor",R8)))</formula>
    </cfRule>
  </conditionalFormatting>
  <conditionalFormatting sqref="V8:V21">
    <cfRule type="containsText" dxfId="342" priority="6" operator="containsText" text="vaba voor">
      <formula>NOT(ISERROR(SEARCH("vaba voor",V8)))</formula>
    </cfRule>
  </conditionalFormatting>
  <conditionalFormatting sqref="J8:J21">
    <cfRule type="containsText" dxfId="341" priority="8" operator="containsText" text="vaba voor">
      <formula>NOT(ISERROR(SEARCH("vaba voor",J8)))</formula>
    </cfRule>
  </conditionalFormatting>
  <conditionalFormatting sqref="C8:F21">
    <cfRule type="expression" dxfId="340" priority="14">
      <formula>IF(AND(ISNUMBER($C8),$C8=$E8),TRUE)</formula>
    </cfRule>
    <cfRule type="expression" dxfId="339" priority="16">
      <formula>IF($C8&gt;$E8,TRUE)</formula>
    </cfRule>
    <cfRule type="expression" dxfId="338" priority="17">
      <formula>IF($C8&lt;$E8,TRUE)</formula>
    </cfRule>
  </conditionalFormatting>
  <conditionalFormatting sqref="G8:J21">
    <cfRule type="expression" dxfId="337" priority="15">
      <formula>IF(AND(ISNUMBER($G8),$G8=$I8),TRUE)</formula>
    </cfRule>
    <cfRule type="expression" dxfId="336" priority="20">
      <formula>IF($G8&gt;$I8,TRUE)</formula>
    </cfRule>
    <cfRule type="expression" dxfId="335" priority="21">
      <formula>IF($G8&lt;$I8,TRUE)</formula>
    </cfRule>
  </conditionalFormatting>
  <conditionalFormatting sqref="K8:N21">
    <cfRule type="expression" dxfId="334" priority="13">
      <formula>IF(AND(ISNUMBER($K8),$K8=$M8),TRUE)</formula>
    </cfRule>
    <cfRule type="expression" dxfId="333" priority="24">
      <formula>IF($K8&gt;$M8,TRUE)</formula>
    </cfRule>
    <cfRule type="expression" dxfId="332" priority="25">
      <formula>IF($K8&lt;$M8,TRUE)</formula>
    </cfRule>
  </conditionalFormatting>
  <conditionalFormatting sqref="O8:R21">
    <cfRule type="expression" dxfId="331" priority="12">
      <formula>IF(AND(ISNUMBER($O8),$O8=$Q8),TRUE)</formula>
    </cfRule>
    <cfRule type="expression" dxfId="330" priority="28">
      <formula>IF($O8&gt;$Q8,TRUE)</formula>
    </cfRule>
    <cfRule type="expression" dxfId="329" priority="29">
      <formula>IF($O8&lt;$Q8,TRUE)</formula>
    </cfRule>
  </conditionalFormatting>
  <conditionalFormatting sqref="S8:V21">
    <cfRule type="expression" dxfId="328" priority="11">
      <formula>IF(AND(ISNUMBER($S8),$S8=$U8),TRUE)</formula>
    </cfRule>
    <cfRule type="expression" dxfId="327" priority="32">
      <formula>IF($S8&gt;$U8,TRUE)</formula>
    </cfRule>
    <cfRule type="expression" dxfId="326" priority="33">
      <formula>IF($S8&lt;$U8,TRUE)</formula>
    </cfRule>
  </conditionalFormatting>
  <conditionalFormatting sqref="C8:C21 G8:G21 K8:K21 O8:O21 S8:S21">
    <cfRule type="expression" dxfId="325" priority="4">
      <formula>AND(C8=0,E8=13)</formula>
    </cfRule>
  </conditionalFormatting>
  <conditionalFormatting sqref="E8:E21 I8:I21 M8:M21 Q8:Q21 U8:U21">
    <cfRule type="expression" dxfId="324" priority="5">
      <formula>AND(E8=0,C8=13)</formula>
    </cfRule>
  </conditionalFormatting>
  <conditionalFormatting sqref="AF8:AF21 AJ8:AJ21 AL8:AL21">
    <cfRule type="expression" dxfId="323" priority="1">
      <formula>AND(AE8="",COUNTIF(AF8,"*,*")=0)</formula>
    </cfRule>
  </conditionalFormatting>
  <conditionalFormatting sqref="AH8:AH21">
    <cfRule type="expression" dxfId="322" priority="2">
      <formula>AND(AG8="",FIND(",",AH8))</formula>
    </cfRule>
    <cfRule type="expression" dxfId="321" priority="3">
      <formula>AND(AG8="",COUNTIF(AH8,"*,*")=0)</formula>
    </cfRule>
  </conditionalFormatting>
  <conditionalFormatting sqref="A300:A313">
    <cfRule type="duplicateValues" dxfId="320" priority="94"/>
  </conditionalFormatting>
  <conditionalFormatting sqref="A8:A21">
    <cfRule type="duplicateValues" dxfId="319" priority="128"/>
  </conditionalFormatting>
  <conditionalFormatting sqref="B300:B313">
    <cfRule type="expression" dxfId="318" priority="154">
      <formula>A300=3</formula>
    </cfRule>
    <cfRule type="expression" dxfId="317" priority="155">
      <formula>A300=2</formula>
    </cfRule>
    <cfRule type="expression" dxfId="316" priority="156">
      <formula>A300=1</formula>
    </cfRule>
    <cfRule type="containsBlanks" dxfId="315" priority="157">
      <formula>LEN(TRIM(B300))=0</formula>
    </cfRule>
    <cfRule type="duplicateValues" dxfId="314" priority="158"/>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M311"/>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36.570312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8.28515625" hidden="1" customWidth="1"/>
    <col min="33" max="33" width="9.140625" hidden="1" customWidth="1"/>
    <col min="34" max="34" width="23.140625" hidden="1" customWidth="1"/>
    <col min="35" max="35" width="9.140625" hidden="1" customWidth="1"/>
    <col min="36" max="36" width="17.28515625" hidden="1" customWidth="1"/>
    <col min="37" max="37" width="9.140625" hidden="1" customWidth="1"/>
    <col min="38" max="38" width="13.85546875" hidden="1" customWidth="1"/>
  </cols>
  <sheetData>
    <row r="1" spans="1:39" x14ac:dyDescent="0.2">
      <c r="A1" s="742" t="str">
        <f>UPPER((Kalend!E34)&amp;" - "&amp;(Kalend!C34)&amp;" - "&amp;(Kalend!D34))</f>
        <v>V7 - VOKA 6. KV 7. ETAPP - DUO</v>
      </c>
      <c r="B1" s="652"/>
      <c r="C1" s="653"/>
      <c r="D1" s="652"/>
      <c r="E1" s="652"/>
      <c r="F1" s="410" t="str">
        <f>HYPERLINK("#Kalend!I1","Kalender")</f>
        <v>Kalender</v>
      </c>
      <c r="G1" s="410"/>
      <c r="H1" s="410"/>
      <c r="I1" s="410"/>
      <c r="J1" s="654" t="str">
        <f>HYPERLINK("#V!AB1","Reiting")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tr">
        <f>"Toimumisaeg: "&amp;(Kalend!A34)&amp;" kell "&amp;(Kalend!B34)</f>
        <v>Toimumisaeg: K, 07.08.2019 kell 18:00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2"/>
      <c r="AE2" s="652"/>
      <c r="AF2" s="652"/>
      <c r="AG2" s="652"/>
      <c r="AH2" s="652"/>
      <c r="AI2" s="652"/>
      <c r="AJ2" s="652"/>
      <c r="AK2" s="652"/>
      <c r="AL2" s="652"/>
      <c r="AM2" s="652"/>
    </row>
    <row r="3" spans="1:39" x14ac:dyDescent="0.2">
      <c r="A3" s="659" t="str">
        <f>"Toimumiskoht: "&amp;(Kalend!F34)</f>
        <v>Toimumiskoht: Voka staadion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tr">
        <f>"Korraldaja: "&amp;(Kalend!G34)</f>
        <v>Korraldaja: Johannes Neiland</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x14ac:dyDescent="0.2">
      <c r="A8" s="685">
        <v>1</v>
      </c>
      <c r="B8" s="686" t="s">
        <v>391</v>
      </c>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708">
        <f t="shared" ref="AD8" si="0">SUM(AE8:AL8)</f>
        <v>334</v>
      </c>
      <c r="AE8" s="709">
        <f>IFERROR(INDEX(V!R$7:R$62,MATCH(AF8,V!L$7:L$62,0)),"")</f>
        <v>165</v>
      </c>
      <c r="AF8" s="710" t="str">
        <f t="shared" ref="AF8:AF19" si="1">IFERROR(LEFT(B8,(FIND(",",B8,1)-1)),"")</f>
        <v>Oksana Rõndenkova</v>
      </c>
      <c r="AG8" s="709">
        <f>IFERROR(INDEX(V!R$7:R$62,MATCH(AH8,V!L$7:L$62,0)),"")</f>
        <v>169</v>
      </c>
      <c r="AH8" s="710" t="str">
        <f t="shared" ref="AH8:AH19" si="2">IFERROR(MID(B8,FIND(", ",B8)+2,256),"")</f>
        <v>Oleg Rõndenkov</v>
      </c>
      <c r="AI8" s="709" t="str">
        <f>IFERROR(INDEX(V!R$7:R$62,MATCH(AJ8,V!L$7:L$62,0)),"")</f>
        <v/>
      </c>
      <c r="AJ8" s="710" t="str">
        <f t="shared" ref="AJ8:AJ19" si="3">IFERROR(MID(B8,FIND("^",SUBSTITUTE(B8,", ","^",1))+2,FIND("^",SUBSTITUTE(B8,", ","^",2))-FIND("^",SUBSTITUTE(B8,", ","^",1))-2),"")</f>
        <v/>
      </c>
      <c r="AK8" s="709" t="str">
        <f>IFERROR(INDEX(V!R$7:R$62,MATCH(AL8,V!L$7:L$62,0)),"")</f>
        <v/>
      </c>
      <c r="AL8" s="710" t="str">
        <f t="shared" ref="AL8:AL19" si="4">IFERROR(MID(B8,FIND(", ",B8,FIND(", ",B8,FIND(", ",B8))+1)+2,700),"")</f>
        <v/>
      </c>
      <c r="AM8" s="652"/>
    </row>
    <row r="9" spans="1:39" x14ac:dyDescent="0.2">
      <c r="A9" s="685">
        <v>2</v>
      </c>
      <c r="B9" s="686" t="s">
        <v>410</v>
      </c>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19" si="5">IF(C9&gt;E9,J$3,IF(C9&lt;E9,J$5,IF(ISNUMBER(C9),J$4,0)))+IF(G9&gt;I9,J$3,IF(G9&lt;I9,J$5,IF(ISNUMBER(G9),J$4,0)))+IF(K9&gt;M9,J$3,IF(K9&lt;M9,J$5,IF(ISNUMBER(K9),J$4,0)))+IF(O9&gt;Q9,J$3,IF(O9&lt;Q9,J$5,IF(ISNUMBER(O9),J$4,0)))+IF(S9&gt;U9,J$3,IF(S9&lt;U9,J$5,IF(ISNUMBER(S9),J$4,0)))</f>
        <v>0</v>
      </c>
      <c r="X9" s="692"/>
      <c r="Y9" s="687">
        <f t="shared" ref="Y9:Y19" si="6">C9+G9+K9+O9+S9</f>
        <v>0</v>
      </c>
      <c r="Z9" s="688" t="s">
        <v>377</v>
      </c>
      <c r="AA9" s="693">
        <f t="shared" ref="AA9:AA19" si="7">E9+I9+M9+Q9+U9</f>
        <v>0</v>
      </c>
      <c r="AB9" s="694">
        <f t="shared" ref="AB9:AB19" si="8">Y9-AA9</f>
        <v>0</v>
      </c>
      <c r="AC9" s="695"/>
      <c r="AD9" s="708">
        <f t="shared" ref="AD9:AD19" si="9">SUM(AE9:AL9)</f>
        <v>222</v>
      </c>
      <c r="AE9" s="709">
        <f>IFERROR(INDEX(V!R$7:R$62,MATCH(AF9,V!L$7:L$62,0)),"")</f>
        <v>74</v>
      </c>
      <c r="AF9" s="710" t="str">
        <f t="shared" si="1"/>
        <v>Ivar Viljaste</v>
      </c>
      <c r="AG9" s="709">
        <f>IFERROR(INDEX(V!R$7:R$62,MATCH(AH9,V!L$7:L$62,0)),"")</f>
        <v>148</v>
      </c>
      <c r="AH9" s="710" t="str">
        <f t="shared" si="2"/>
        <v>Matti Vinni</v>
      </c>
      <c r="AI9" s="709" t="str">
        <f>IFERROR(INDEX(V!R$7:R$62,MATCH(AJ9,V!L$7:L$62,0)),"")</f>
        <v/>
      </c>
      <c r="AJ9" s="710" t="str">
        <f t="shared" si="3"/>
        <v/>
      </c>
      <c r="AK9" s="709" t="str">
        <f>IFERROR(INDEX(V!R$7:R$62,MATCH(AL9,V!L$7:L$62,0)),"")</f>
        <v/>
      </c>
      <c r="AL9" s="710" t="str">
        <f t="shared" si="4"/>
        <v/>
      </c>
      <c r="AM9" s="652"/>
    </row>
    <row r="10" spans="1:39" x14ac:dyDescent="0.2">
      <c r="A10" s="685">
        <v>3</v>
      </c>
      <c r="B10" s="686" t="s">
        <v>418</v>
      </c>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5"/>
        <v>0</v>
      </c>
      <c r="X10" s="692"/>
      <c r="Y10" s="687">
        <f t="shared" si="6"/>
        <v>0</v>
      </c>
      <c r="Z10" s="688" t="s">
        <v>377</v>
      </c>
      <c r="AA10" s="693">
        <f t="shared" si="7"/>
        <v>0</v>
      </c>
      <c r="AB10" s="694">
        <f t="shared" si="8"/>
        <v>0</v>
      </c>
      <c r="AC10" s="695"/>
      <c r="AD10" s="708">
        <f t="shared" si="9"/>
        <v>236</v>
      </c>
      <c r="AE10" s="709">
        <f>IFERROR(INDEX(V!R$7:R$62,MATCH(AF10,V!L$7:L$62,0)),"")</f>
        <v>135</v>
      </c>
      <c r="AF10" s="710" t="str">
        <f t="shared" si="1"/>
        <v>Kenneth Muusikus</v>
      </c>
      <c r="AG10" s="709">
        <f>IFERROR(INDEX(V!R$7:R$62,MATCH(AH10,V!L$7:L$62,0)),"")</f>
        <v>101</v>
      </c>
      <c r="AH10" s="710" t="str">
        <f t="shared" si="2"/>
        <v>Mait Metsla</v>
      </c>
      <c r="AI10" s="709" t="str">
        <f>IFERROR(INDEX(V!R$7:R$62,MATCH(AJ10,V!L$7:L$62,0)),"")</f>
        <v/>
      </c>
      <c r="AJ10" s="710" t="str">
        <f t="shared" si="3"/>
        <v/>
      </c>
      <c r="AK10" s="709" t="str">
        <f>IFERROR(INDEX(V!R$7:R$62,MATCH(AL10,V!L$7:L$62,0)),"")</f>
        <v/>
      </c>
      <c r="AL10" s="710" t="str">
        <f t="shared" si="4"/>
        <v/>
      </c>
      <c r="AM10" s="652"/>
    </row>
    <row r="11" spans="1:39" x14ac:dyDescent="0.2">
      <c r="A11" s="685">
        <v>4</v>
      </c>
      <c r="B11" s="686" t="s">
        <v>421</v>
      </c>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5"/>
        <v>0</v>
      </c>
      <c r="X11" s="692"/>
      <c r="Y11" s="687">
        <f t="shared" si="6"/>
        <v>0</v>
      </c>
      <c r="Z11" s="688" t="s">
        <v>377</v>
      </c>
      <c r="AA11" s="693">
        <f t="shared" si="7"/>
        <v>0</v>
      </c>
      <c r="AB11" s="694">
        <f t="shared" si="8"/>
        <v>0</v>
      </c>
      <c r="AC11" s="695"/>
      <c r="AD11" s="708">
        <f t="shared" si="9"/>
        <v>141</v>
      </c>
      <c r="AE11" s="709">
        <f>IFERROR(INDEX(V!R$7:R$62,MATCH(AF11,V!L$7:L$62,0)),"")</f>
        <v>113</v>
      </c>
      <c r="AF11" s="710" t="str">
        <f t="shared" si="1"/>
        <v>Kaspar Mänd</v>
      </c>
      <c r="AG11" s="709">
        <f>IFERROR(INDEX(V!R$7:R$62,MATCH(AH11,V!L$7:L$62,0)),"")</f>
        <v>28</v>
      </c>
      <c r="AH11" s="710" t="str">
        <f t="shared" si="2"/>
        <v>Tõnis Anton</v>
      </c>
      <c r="AI11" s="709" t="str">
        <f>IFERROR(INDEX(V!R$7:R$62,MATCH(AJ11,V!L$7:L$62,0)),"")</f>
        <v/>
      </c>
      <c r="AJ11" s="710" t="str">
        <f t="shared" si="3"/>
        <v/>
      </c>
      <c r="AK11" s="709" t="str">
        <f>IFERROR(INDEX(V!R$7:R$62,MATCH(AL11,V!L$7:L$62,0)),"")</f>
        <v/>
      </c>
      <c r="AL11" s="710" t="str">
        <f t="shared" si="4"/>
        <v/>
      </c>
      <c r="AM11" s="652"/>
    </row>
    <row r="12" spans="1:39" x14ac:dyDescent="0.2">
      <c r="A12" s="685">
        <v>5</v>
      </c>
      <c r="B12" s="686" t="s">
        <v>422</v>
      </c>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5"/>
        <v>0</v>
      </c>
      <c r="X12" s="692"/>
      <c r="Y12" s="687">
        <f t="shared" si="6"/>
        <v>0</v>
      </c>
      <c r="Z12" s="688" t="s">
        <v>377</v>
      </c>
      <c r="AA12" s="693">
        <f t="shared" si="7"/>
        <v>0</v>
      </c>
      <c r="AB12" s="694">
        <f t="shared" si="8"/>
        <v>0</v>
      </c>
      <c r="AC12" s="695"/>
      <c r="AD12" s="708">
        <f t="shared" si="9"/>
        <v>106</v>
      </c>
      <c r="AE12" s="709">
        <f>IFERROR(INDEX(V!R$7:R$62,MATCH(AF12,V!L$7:L$62,0)),"")</f>
        <v>16</v>
      </c>
      <c r="AF12" s="710" t="str">
        <f t="shared" si="1"/>
        <v>Eve Müüdla</v>
      </c>
      <c r="AG12" s="709">
        <f>IFERROR(INDEX(V!R$7:R$62,MATCH(AH12,V!L$7:L$62,0)),"")</f>
        <v>90</v>
      </c>
      <c r="AH12" s="710" t="str">
        <f t="shared" si="2"/>
        <v>Johannes Neiland</v>
      </c>
      <c r="AI12" s="709" t="str">
        <f>IFERROR(INDEX(V!R$7:R$62,MATCH(AJ12,V!L$7:L$62,0)),"")</f>
        <v/>
      </c>
      <c r="AJ12" s="710" t="str">
        <f t="shared" si="3"/>
        <v/>
      </c>
      <c r="AK12" s="709" t="str">
        <f>IFERROR(INDEX(V!R$7:R$62,MATCH(AL12,V!L$7:L$62,0)),"")</f>
        <v/>
      </c>
      <c r="AL12" s="710" t="str">
        <f t="shared" si="4"/>
        <v/>
      </c>
      <c r="AM12" s="652"/>
    </row>
    <row r="13" spans="1:39" x14ac:dyDescent="0.2">
      <c r="A13" s="685">
        <v>6</v>
      </c>
      <c r="B13" s="686" t="s">
        <v>393</v>
      </c>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5"/>
        <v>0</v>
      </c>
      <c r="X13" s="692"/>
      <c r="Y13" s="687">
        <f t="shared" si="6"/>
        <v>0</v>
      </c>
      <c r="Z13" s="688" t="s">
        <v>377</v>
      </c>
      <c r="AA13" s="693">
        <f t="shared" si="7"/>
        <v>0</v>
      </c>
      <c r="AB13" s="694">
        <f t="shared" si="8"/>
        <v>0</v>
      </c>
      <c r="AC13" s="695"/>
      <c r="AD13" s="708">
        <f t="shared" si="9"/>
        <v>216</v>
      </c>
      <c r="AE13" s="709">
        <f>IFERROR(INDEX(V!R$7:R$62,MATCH(AF13,V!L$7:L$62,0)),"")</f>
        <v>113</v>
      </c>
      <c r="AF13" s="710" t="str">
        <f t="shared" si="1"/>
        <v>Andrei Grintšak</v>
      </c>
      <c r="AG13" s="709">
        <f>IFERROR(INDEX(V!R$7:R$62,MATCH(AH13,V!L$7:L$62,0)),"")</f>
        <v>103</v>
      </c>
      <c r="AH13" s="710" t="str">
        <f t="shared" si="2"/>
        <v>Boriss Klubov</v>
      </c>
      <c r="AI13" s="709" t="str">
        <f>IFERROR(INDEX(V!R$7:R$62,MATCH(AJ13,V!L$7:L$62,0)),"")</f>
        <v/>
      </c>
      <c r="AJ13" s="710" t="str">
        <f t="shared" si="3"/>
        <v/>
      </c>
      <c r="AK13" s="709" t="str">
        <f>IFERROR(INDEX(V!R$7:R$62,MATCH(AL13,V!L$7:L$62,0)),"")</f>
        <v/>
      </c>
      <c r="AL13" s="710" t="str">
        <f t="shared" si="4"/>
        <v/>
      </c>
      <c r="AM13" s="652"/>
    </row>
    <row r="14" spans="1:39" x14ac:dyDescent="0.2">
      <c r="A14" s="685">
        <v>7</v>
      </c>
      <c r="B14" s="696" t="s">
        <v>423</v>
      </c>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5"/>
        <v>0</v>
      </c>
      <c r="X14" s="692"/>
      <c r="Y14" s="687">
        <f t="shared" si="6"/>
        <v>0</v>
      </c>
      <c r="Z14" s="688" t="s">
        <v>377</v>
      </c>
      <c r="AA14" s="693">
        <f t="shared" si="7"/>
        <v>0</v>
      </c>
      <c r="AB14" s="694">
        <f t="shared" si="8"/>
        <v>0</v>
      </c>
      <c r="AC14" s="695"/>
      <c r="AD14" s="708">
        <f t="shared" si="9"/>
        <v>47</v>
      </c>
      <c r="AE14" s="709">
        <f>IFERROR(INDEX(V!R$7:R$62,MATCH(AF14,V!L$7:L$62,0)),"")</f>
        <v>33</v>
      </c>
      <c r="AF14" s="710" t="str">
        <f t="shared" si="1"/>
        <v>Fredi Müür</v>
      </c>
      <c r="AG14" s="709">
        <f>IFERROR(INDEX(V!R$7:R$62,MATCH(AH14,V!L$7:L$62,0)),"")</f>
        <v>14</v>
      </c>
      <c r="AH14" s="710" t="str">
        <f t="shared" si="2"/>
        <v>Rainer Schmidt</v>
      </c>
      <c r="AI14" s="709" t="str">
        <f>IFERROR(INDEX(V!R$7:R$62,MATCH(AJ14,V!L$7:L$62,0)),"")</f>
        <v/>
      </c>
      <c r="AJ14" s="710" t="str">
        <f t="shared" si="3"/>
        <v/>
      </c>
      <c r="AK14" s="709" t="str">
        <f>IFERROR(INDEX(V!R$7:R$62,MATCH(AL14,V!L$7:L$62,0)),"")</f>
        <v/>
      </c>
      <c r="AL14" s="710" t="str">
        <f t="shared" si="4"/>
        <v/>
      </c>
      <c r="AM14" s="652"/>
    </row>
    <row r="15" spans="1:39" x14ac:dyDescent="0.2">
      <c r="A15" s="685">
        <v>8</v>
      </c>
      <c r="B15" s="696" t="s">
        <v>399</v>
      </c>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5"/>
        <v>0</v>
      </c>
      <c r="X15" s="692"/>
      <c r="Y15" s="687">
        <f t="shared" si="6"/>
        <v>0</v>
      </c>
      <c r="Z15" s="688" t="s">
        <v>377</v>
      </c>
      <c r="AA15" s="693">
        <f t="shared" si="7"/>
        <v>0</v>
      </c>
      <c r="AB15" s="694">
        <f t="shared" si="8"/>
        <v>0</v>
      </c>
      <c r="AC15" s="695"/>
      <c r="AD15" s="708">
        <f t="shared" si="9"/>
        <v>181</v>
      </c>
      <c r="AE15" s="709">
        <f>IFERROR(INDEX(V!R$7:R$62,MATCH(AF15,V!L$7:L$62,0)),"")</f>
        <v>106</v>
      </c>
      <c r="AF15" s="710" t="str">
        <f t="shared" si="1"/>
        <v>Henri Mitt</v>
      </c>
      <c r="AG15" s="709">
        <f>IFERROR(INDEX(V!R$7:R$62,MATCH(AH15,V!L$7:L$62,0)),"")</f>
        <v>75</v>
      </c>
      <c r="AH15" s="710" t="str">
        <f t="shared" si="2"/>
        <v>Urmas Randlaine</v>
      </c>
      <c r="AI15" s="709" t="str">
        <f>IFERROR(INDEX(V!R$7:R$62,MATCH(AJ15,V!L$7:L$62,0)),"")</f>
        <v/>
      </c>
      <c r="AJ15" s="710" t="str">
        <f t="shared" si="3"/>
        <v/>
      </c>
      <c r="AK15" s="709" t="str">
        <f>IFERROR(INDEX(V!R$7:R$62,MATCH(AL15,V!L$7:L$62,0)),"")</f>
        <v/>
      </c>
      <c r="AL15" s="710" t="str">
        <f t="shared" si="4"/>
        <v/>
      </c>
      <c r="AM15" s="652"/>
    </row>
    <row r="16" spans="1:39" x14ac:dyDescent="0.2">
      <c r="A16" s="685">
        <v>9</v>
      </c>
      <c r="B16" s="686" t="s">
        <v>424</v>
      </c>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5"/>
        <v>0</v>
      </c>
      <c r="X16" s="692"/>
      <c r="Y16" s="687">
        <f t="shared" si="6"/>
        <v>0</v>
      </c>
      <c r="Z16" s="688" t="s">
        <v>377</v>
      </c>
      <c r="AA16" s="693">
        <f t="shared" si="7"/>
        <v>0</v>
      </c>
      <c r="AB16" s="694">
        <f t="shared" si="8"/>
        <v>0</v>
      </c>
      <c r="AC16" s="695"/>
      <c r="AD16" s="708">
        <f t="shared" si="9"/>
        <v>297</v>
      </c>
      <c r="AE16" s="709">
        <f>IFERROR(INDEX(V!R$7:R$62,MATCH(AF16,V!L$7:L$62,0)),"")</f>
        <v>102</v>
      </c>
      <c r="AF16" s="710" t="str">
        <f t="shared" si="1"/>
        <v>Enn Tokman</v>
      </c>
      <c r="AG16" s="709" t="str">
        <f>IFERROR(INDEX(V!R$7:R$62,MATCH(AH16,V!L$7:L$62,0)),"")</f>
        <v/>
      </c>
      <c r="AH16" s="710" t="str">
        <f t="shared" si="2"/>
        <v>Liidia Põllu, Tarmo Bombe</v>
      </c>
      <c r="AI16" s="709">
        <f>IFERROR(INDEX(V!R$7:R$62,MATCH(AJ16,V!L$7:L$62,0)),"")</f>
        <v>77</v>
      </c>
      <c r="AJ16" s="710" t="str">
        <f t="shared" si="3"/>
        <v>Liidia Põllu</v>
      </c>
      <c r="AK16" s="709">
        <f>IFERROR(INDEX(V!R$7:R$62,MATCH(AL16,V!L$7:L$62,0)),"")</f>
        <v>118</v>
      </c>
      <c r="AL16" s="710" t="str">
        <f t="shared" si="4"/>
        <v>Tarmo Bombe</v>
      </c>
      <c r="AM16" s="652"/>
    </row>
    <row r="17" spans="1:39" x14ac:dyDescent="0.2">
      <c r="A17" s="685">
        <v>10</v>
      </c>
      <c r="B17" s="686" t="s">
        <v>383</v>
      </c>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5"/>
        <v>0</v>
      </c>
      <c r="X17" s="692"/>
      <c r="Y17" s="687">
        <f t="shared" si="6"/>
        <v>0</v>
      </c>
      <c r="Z17" s="688" t="s">
        <v>377</v>
      </c>
      <c r="AA17" s="693">
        <f t="shared" si="7"/>
        <v>0</v>
      </c>
      <c r="AB17" s="694">
        <f t="shared" si="8"/>
        <v>0</v>
      </c>
      <c r="AC17" s="695"/>
      <c r="AD17" s="708">
        <f t="shared" si="9"/>
        <v>284</v>
      </c>
      <c r="AE17" s="709">
        <f>IFERROR(INDEX(V!R$7:R$62,MATCH(AF17,V!L$7:L$62,0)),"")</f>
        <v>142</v>
      </c>
      <c r="AF17" s="710" t="str">
        <f t="shared" si="1"/>
        <v>Elmo Lageda</v>
      </c>
      <c r="AG17" s="709">
        <f>IFERROR(INDEX(V!R$7:R$62,MATCH(AH17,V!L$7:L$62,0)),"")</f>
        <v>142</v>
      </c>
      <c r="AH17" s="710" t="str">
        <f t="shared" si="2"/>
        <v>Tõnu Piik</v>
      </c>
      <c r="AI17" s="709" t="str">
        <f>IFERROR(INDEX(V!R$7:R$62,MATCH(AJ17,V!L$7:L$62,0)),"")</f>
        <v/>
      </c>
      <c r="AJ17" s="710" t="str">
        <f t="shared" si="3"/>
        <v/>
      </c>
      <c r="AK17" s="709" t="str">
        <f>IFERROR(INDEX(V!R$7:R$62,MATCH(AL17,V!L$7:L$62,0)),"")</f>
        <v/>
      </c>
      <c r="AL17" s="710" t="str">
        <f t="shared" si="4"/>
        <v/>
      </c>
      <c r="AM17" s="652"/>
    </row>
    <row r="18" spans="1:39" x14ac:dyDescent="0.2">
      <c r="A18" s="685">
        <v>11</v>
      </c>
      <c r="B18" s="696" t="s">
        <v>416</v>
      </c>
      <c r="C18" s="687"/>
      <c r="D18" s="688" t="s">
        <v>377</v>
      </c>
      <c r="E18" s="689"/>
      <c r="F18" s="690"/>
      <c r="G18" s="687"/>
      <c r="H18" s="688" t="s">
        <v>377</v>
      </c>
      <c r="I18" s="689"/>
      <c r="J18" s="690"/>
      <c r="K18" s="687"/>
      <c r="L18" s="688" t="s">
        <v>377</v>
      </c>
      <c r="M18" s="689"/>
      <c r="N18" s="690"/>
      <c r="O18" s="687"/>
      <c r="P18" s="688" t="s">
        <v>377</v>
      </c>
      <c r="Q18" s="689"/>
      <c r="R18" s="690"/>
      <c r="S18" s="687"/>
      <c r="T18" s="688" t="s">
        <v>377</v>
      </c>
      <c r="U18" s="689"/>
      <c r="V18" s="690"/>
      <c r="W18" s="691">
        <f t="shared" si="5"/>
        <v>0</v>
      </c>
      <c r="X18" s="692"/>
      <c r="Y18" s="687">
        <f t="shared" si="6"/>
        <v>0</v>
      </c>
      <c r="Z18" s="688" t="s">
        <v>377</v>
      </c>
      <c r="AA18" s="693">
        <f t="shared" si="7"/>
        <v>0</v>
      </c>
      <c r="AB18" s="694">
        <f t="shared" si="8"/>
        <v>0</v>
      </c>
      <c r="AC18" s="695"/>
      <c r="AD18" s="708">
        <f t="shared" si="9"/>
        <v>91</v>
      </c>
      <c r="AE18" s="709">
        <f>IFERROR(INDEX(V!R$7:R$62,MATCH(AF18,V!L$7:L$62,0)),"")</f>
        <v>81</v>
      </c>
      <c r="AF18" s="710" t="str">
        <f t="shared" si="1"/>
        <v>Illar Tõnurist</v>
      </c>
      <c r="AG18" s="709">
        <f>IFERROR(INDEX(V!R$7:R$62,MATCH(AH18,V!L$7:L$62,0)),"")</f>
        <v>10</v>
      </c>
      <c r="AH18" s="710" t="str">
        <f t="shared" si="2"/>
        <v>Vilmar Ostumaa</v>
      </c>
      <c r="AI18" s="709" t="str">
        <f>IFERROR(INDEX(V!R$7:R$62,MATCH(AJ18,V!L$7:L$62,0)),"")</f>
        <v/>
      </c>
      <c r="AJ18" s="710" t="str">
        <f t="shared" si="3"/>
        <v/>
      </c>
      <c r="AK18" s="709" t="str">
        <f>IFERROR(INDEX(V!R$7:R$62,MATCH(AL18,V!L$7:L$62,0)),"")</f>
        <v/>
      </c>
      <c r="AL18" s="710" t="str">
        <f t="shared" si="4"/>
        <v/>
      </c>
      <c r="AM18" s="652"/>
    </row>
    <row r="19" spans="1:39" x14ac:dyDescent="0.2">
      <c r="A19" s="685">
        <v>12</v>
      </c>
      <c r="B19" s="696" t="s">
        <v>404</v>
      </c>
      <c r="C19" s="687"/>
      <c r="D19" s="688" t="s">
        <v>377</v>
      </c>
      <c r="E19" s="689"/>
      <c r="F19" s="690"/>
      <c r="G19" s="687"/>
      <c r="H19" s="688" t="s">
        <v>377</v>
      </c>
      <c r="I19" s="689"/>
      <c r="J19" s="690"/>
      <c r="K19" s="687"/>
      <c r="L19" s="688" t="s">
        <v>377</v>
      </c>
      <c r="M19" s="689"/>
      <c r="N19" s="690"/>
      <c r="O19" s="687"/>
      <c r="P19" s="688" t="s">
        <v>377</v>
      </c>
      <c r="Q19" s="689"/>
      <c r="R19" s="690"/>
      <c r="S19" s="687"/>
      <c r="T19" s="688" t="s">
        <v>377</v>
      </c>
      <c r="U19" s="689"/>
      <c r="V19" s="690"/>
      <c r="W19" s="691">
        <f t="shared" si="5"/>
        <v>0</v>
      </c>
      <c r="X19" s="692"/>
      <c r="Y19" s="687">
        <f t="shared" si="6"/>
        <v>0</v>
      </c>
      <c r="Z19" s="688" t="s">
        <v>377</v>
      </c>
      <c r="AA19" s="693">
        <f t="shared" si="7"/>
        <v>0</v>
      </c>
      <c r="AB19" s="694">
        <f t="shared" si="8"/>
        <v>0</v>
      </c>
      <c r="AC19" s="695"/>
      <c r="AD19" s="708">
        <f t="shared" si="9"/>
        <v>235</v>
      </c>
      <c r="AE19" s="709">
        <f>IFERROR(INDEX(V!R$7:R$62,MATCH(AF19,V!L$7:L$62,0)),"")</f>
        <v>125</v>
      </c>
      <c r="AF19" s="710" t="str">
        <f t="shared" si="1"/>
        <v>Karla Purgats</v>
      </c>
      <c r="AG19" s="709">
        <f>IFERROR(INDEX(V!R$7:R$62,MATCH(AH19,V!L$7:L$62,0)),"")</f>
        <v>110</v>
      </c>
      <c r="AH19" s="710" t="str">
        <f t="shared" si="2"/>
        <v>Lemmit Toomra</v>
      </c>
      <c r="AI19" s="709" t="str">
        <f>IFERROR(INDEX(V!R$7:R$62,MATCH(AJ19,V!L$7:L$62,0)),"")</f>
        <v/>
      </c>
      <c r="AJ19" s="710" t="str">
        <f t="shared" si="3"/>
        <v/>
      </c>
      <c r="AK19" s="709" t="str">
        <f>IFERROR(INDEX(V!R$7:R$62,MATCH(AL19,V!L$7:L$62,0)),"")</f>
        <v/>
      </c>
      <c r="AL19" s="710" t="str">
        <f t="shared" si="4"/>
        <v/>
      </c>
      <c r="AM19" s="652"/>
    </row>
    <row r="20" spans="1:39" hidden="1" x14ac:dyDescent="0.2">
      <c r="A20" s="652"/>
      <c r="B20" s="652"/>
      <c r="C20" s="652"/>
      <c r="D20" s="652"/>
      <c r="E20" s="652"/>
      <c r="F20" s="652"/>
      <c r="G20" s="652"/>
      <c r="H20" s="652"/>
      <c r="I20" s="652"/>
      <c r="J20" s="652"/>
      <c r="K20" s="652"/>
      <c r="L20" s="652"/>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row>
    <row r="21" spans="1:39" hidden="1" x14ac:dyDescent="0.2">
      <c r="A21" s="652"/>
      <c r="B21" s="652"/>
      <c r="C21" s="652"/>
      <c r="D21" s="652"/>
      <c r="E21" s="652"/>
      <c r="F21" s="652"/>
      <c r="G21" s="652"/>
      <c r="H21" s="652"/>
      <c r="I21" s="652"/>
      <c r="J21" s="652"/>
      <c r="K21" s="652"/>
      <c r="L21" s="652"/>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row>
    <row r="22" spans="1:39" hidden="1" x14ac:dyDescent="0.2">
      <c r="A22" s="652"/>
      <c r="B22" s="652"/>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row>
    <row r="23" spans="1:39" hidden="1" x14ac:dyDescent="0.2">
      <c r="A23" s="652"/>
      <c r="B23" s="652"/>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row>
    <row r="24" spans="1:39" hidden="1" x14ac:dyDescent="0.2">
      <c r="A24" s="652"/>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row>
    <row r="25" spans="1:39" hidden="1" x14ac:dyDescent="0.2">
      <c r="A25" s="652"/>
      <c r="B25" s="652"/>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row>
    <row r="26" spans="1:39" hidden="1" x14ac:dyDescent="0.2">
      <c r="A26" s="652"/>
      <c r="B26" s="652"/>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row>
    <row r="27" spans="1:39" hidden="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row>
    <row r="28" spans="1:39" hidden="1" x14ac:dyDescent="0.2">
      <c r="A28" s="652"/>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row>
    <row r="29" spans="1:39" hidden="1" x14ac:dyDescent="0.2">
      <c r="A29" s="652"/>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row>
    <row r="30" spans="1:39"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row>
    <row r="31" spans="1:39"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row>
    <row r="32" spans="1:39"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row>
    <row r="33" spans="1:39"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row>
    <row r="34" spans="1:39"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row>
    <row r="35" spans="1:39"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row>
    <row r="36" spans="1:39"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2"/>
    </row>
    <row r="133" spans="1:39"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c r="AH133" s="652"/>
      <c r="AI133" s="652"/>
      <c r="AJ133" s="652"/>
      <c r="AK133" s="652"/>
      <c r="AL133" s="652"/>
      <c r="AM133" s="652"/>
    </row>
    <row r="134" spans="1:39" hidden="1" x14ac:dyDescent="0.2">
      <c r="A134" s="652"/>
      <c r="B134" s="652"/>
      <c r="C134" s="652"/>
      <c r="D134" s="652"/>
      <c r="E134" s="652"/>
      <c r="F134" s="652"/>
      <c r="G134" s="652"/>
      <c r="H134" s="652"/>
      <c r="I134" s="652"/>
      <c r="J134" s="652"/>
      <c r="K134" s="652"/>
      <c r="L134" s="652"/>
      <c r="M134" s="652"/>
      <c r="N134" s="652"/>
      <c r="O134" s="652"/>
      <c r="P134" s="652"/>
      <c r="Q134" s="652"/>
      <c r="R134" s="652"/>
      <c r="S134" s="652"/>
      <c r="T134" s="652"/>
      <c r="U134" s="652"/>
      <c r="V134" s="652"/>
      <c r="W134" s="652"/>
      <c r="X134" s="652"/>
      <c r="Y134" s="652"/>
      <c r="Z134" s="652"/>
      <c r="AA134" s="652"/>
      <c r="AB134" s="652"/>
      <c r="AC134" s="652"/>
      <c r="AD134" s="652"/>
      <c r="AE134" s="652"/>
      <c r="AF134" s="652"/>
      <c r="AG134" s="652"/>
      <c r="AH134" s="652"/>
      <c r="AI134" s="652"/>
      <c r="AJ134" s="652"/>
      <c r="AK134" s="652"/>
      <c r="AL134" s="652"/>
      <c r="AM134" s="652"/>
    </row>
    <row r="135" spans="1:39" hidden="1" x14ac:dyDescent="0.2">
      <c r="A135" s="652"/>
      <c r="B135" s="652"/>
      <c r="C135" s="652"/>
      <c r="D135" s="652"/>
      <c r="E135" s="652"/>
      <c r="F135" s="652"/>
      <c r="G135" s="652"/>
      <c r="H135" s="652"/>
      <c r="I135" s="652"/>
      <c r="J135" s="652"/>
      <c r="K135" s="652"/>
      <c r="L135" s="657"/>
      <c r="M135" s="657"/>
      <c r="N135" s="657"/>
      <c r="O135" s="652"/>
      <c r="P135" s="652"/>
      <c r="Q135" s="652"/>
      <c r="R135" s="652"/>
      <c r="S135" s="652"/>
      <c r="T135" s="657"/>
      <c r="U135" s="657"/>
      <c r="V135" s="657"/>
      <c r="W135" s="652"/>
      <c r="X135" s="652"/>
      <c r="Y135" s="652"/>
      <c r="Z135" s="652"/>
      <c r="AA135" s="652"/>
      <c r="AB135" s="652"/>
      <c r="AC135" s="652"/>
      <c r="AD135" s="652"/>
      <c r="AE135" s="652"/>
      <c r="AF135" s="652"/>
      <c r="AG135" s="652"/>
      <c r="AH135" s="652"/>
      <c r="AI135" s="652"/>
      <c r="AJ135" s="652"/>
      <c r="AK135" s="652"/>
      <c r="AL135" s="652"/>
      <c r="AM135" s="652"/>
    </row>
    <row r="136" spans="1:39" hidden="1" x14ac:dyDescent="0.2">
      <c r="A136" s="652"/>
      <c r="B136" s="652"/>
      <c r="C136" s="652"/>
      <c r="D136" s="652"/>
      <c r="E136" s="652"/>
      <c r="F136" s="652"/>
      <c r="G136" s="652"/>
      <c r="H136" s="652"/>
      <c r="I136" s="652"/>
      <c r="J136" s="652"/>
      <c r="K136" s="652"/>
      <c r="L136" s="657"/>
      <c r="M136" s="657"/>
      <c r="N136" s="657"/>
      <c r="O136" s="652"/>
      <c r="P136" s="652"/>
      <c r="Q136" s="652"/>
      <c r="R136" s="652"/>
      <c r="S136" s="652"/>
      <c r="T136" s="657"/>
      <c r="U136" s="657"/>
      <c r="V136" s="657"/>
      <c r="W136" s="652"/>
      <c r="X136" s="652"/>
      <c r="Y136" s="652"/>
      <c r="Z136" s="652"/>
      <c r="AA136" s="652"/>
      <c r="AB136" s="652"/>
      <c r="AC136" s="652"/>
      <c r="AD136" s="652"/>
      <c r="AE136" s="652"/>
      <c r="AF136" s="652"/>
      <c r="AG136" s="652"/>
      <c r="AH136" s="652"/>
      <c r="AI136" s="652"/>
      <c r="AJ136" s="652"/>
      <c r="AK136" s="652"/>
      <c r="AL136" s="652"/>
      <c r="AM136" s="652"/>
    </row>
    <row r="137" spans="1:39" hidden="1" x14ac:dyDescent="0.2">
      <c r="A137" s="652"/>
      <c r="B137" s="652"/>
      <c r="C137" s="652"/>
      <c r="D137" s="652"/>
      <c r="E137" s="652"/>
      <c r="F137" s="652"/>
      <c r="G137" s="652"/>
      <c r="H137" s="652"/>
      <c r="I137" s="652"/>
      <c r="J137" s="652"/>
      <c r="K137" s="652"/>
      <c r="L137" s="657"/>
      <c r="M137" s="657"/>
      <c r="N137" s="657"/>
      <c r="O137" s="652"/>
      <c r="P137" s="652"/>
      <c r="Q137" s="652"/>
      <c r="R137" s="652"/>
      <c r="S137" s="652"/>
      <c r="T137" s="657"/>
      <c r="U137" s="657"/>
      <c r="V137" s="657"/>
      <c r="W137" s="652"/>
      <c r="X137" s="652"/>
      <c r="Y137" s="652"/>
      <c r="Z137" s="652"/>
      <c r="AA137" s="652"/>
      <c r="AB137" s="652"/>
      <c r="AC137" s="652"/>
      <c r="AD137" s="652"/>
      <c r="AE137" s="652"/>
      <c r="AF137" s="652"/>
      <c r="AG137" s="652"/>
      <c r="AH137" s="652"/>
      <c r="AI137" s="652"/>
      <c r="AJ137" s="652"/>
      <c r="AK137" s="652"/>
      <c r="AL137" s="652"/>
      <c r="AM137" s="652"/>
    </row>
    <row r="138" spans="1:39" hidden="1" x14ac:dyDescent="0.2">
      <c r="A138" s="652"/>
      <c r="B138" s="652"/>
      <c r="C138" s="652"/>
      <c r="D138" s="652"/>
      <c r="E138" s="652"/>
      <c r="F138" s="652"/>
      <c r="G138" s="652"/>
      <c r="H138" s="652"/>
      <c r="I138" s="652"/>
      <c r="J138" s="652"/>
      <c r="K138" s="652"/>
      <c r="L138" s="657"/>
      <c r="M138" s="657"/>
      <c r="N138" s="657"/>
      <c r="O138" s="652"/>
      <c r="P138" s="652"/>
      <c r="Q138" s="652"/>
      <c r="R138" s="652"/>
      <c r="S138" s="652"/>
      <c r="T138" s="657"/>
      <c r="U138" s="657"/>
      <c r="V138" s="657"/>
      <c r="W138" s="652"/>
      <c r="X138" s="652"/>
      <c r="Y138" s="652"/>
      <c r="Z138" s="652"/>
      <c r="AA138" s="652"/>
      <c r="AB138" s="652"/>
      <c r="AC138" s="652"/>
      <c r="AD138" s="652"/>
      <c r="AE138" s="652"/>
      <c r="AF138" s="652"/>
      <c r="AG138" s="652"/>
      <c r="AH138" s="652"/>
      <c r="AI138" s="652"/>
      <c r="AJ138" s="652"/>
      <c r="AK138" s="652"/>
      <c r="AL138" s="652"/>
      <c r="AM138" s="652"/>
    </row>
    <row r="139" spans="1:39" hidden="1" x14ac:dyDescent="0.2">
      <c r="A139" s="652"/>
      <c r="B139" s="652"/>
      <c r="C139" s="652"/>
      <c r="D139" s="652"/>
      <c r="E139" s="652"/>
      <c r="F139" s="652"/>
      <c r="G139" s="652"/>
      <c r="H139" s="652"/>
      <c r="I139" s="652"/>
      <c r="J139" s="652"/>
      <c r="K139" s="652"/>
      <c r="L139" s="657"/>
      <c r="M139" s="657"/>
      <c r="N139" s="657"/>
      <c r="O139" s="652"/>
      <c r="P139" s="652"/>
      <c r="Q139" s="652"/>
      <c r="R139" s="652"/>
      <c r="S139" s="652"/>
      <c r="T139" s="657"/>
      <c r="U139" s="657"/>
      <c r="V139" s="657"/>
      <c r="W139" s="652"/>
      <c r="X139" s="652"/>
      <c r="Y139" s="652"/>
      <c r="Z139" s="652"/>
      <c r="AA139" s="652"/>
      <c r="AB139" s="652"/>
      <c r="AC139" s="652"/>
      <c r="AD139" s="652"/>
      <c r="AE139" s="652"/>
      <c r="AF139" s="652"/>
      <c r="AG139" s="652"/>
      <c r="AH139" s="652"/>
      <c r="AI139" s="652"/>
      <c r="AJ139" s="652"/>
      <c r="AK139" s="652"/>
      <c r="AL139" s="652"/>
      <c r="AM139" s="652"/>
    </row>
    <row r="140" spans="1:39" hidden="1" x14ac:dyDescent="0.2">
      <c r="A140" s="652"/>
      <c r="B140" s="652"/>
      <c r="C140" s="652"/>
      <c r="D140" s="652"/>
      <c r="E140" s="652"/>
      <c r="F140" s="652"/>
      <c r="G140" s="652"/>
      <c r="H140" s="652"/>
      <c r="I140" s="652"/>
      <c r="J140" s="652"/>
      <c r="K140" s="652"/>
      <c r="L140" s="657"/>
      <c r="M140" s="657"/>
      <c r="N140" s="657"/>
      <c r="O140" s="652"/>
      <c r="P140" s="652"/>
      <c r="Q140" s="652"/>
      <c r="R140" s="652"/>
      <c r="S140" s="652"/>
      <c r="T140" s="657"/>
      <c r="U140" s="657"/>
      <c r="V140" s="657"/>
      <c r="W140" s="652"/>
      <c r="X140" s="652"/>
      <c r="Y140" s="652"/>
      <c r="Z140" s="652"/>
      <c r="AA140" s="652"/>
      <c r="AB140" s="652"/>
      <c r="AC140" s="652"/>
      <c r="AD140" s="652"/>
      <c r="AE140" s="652"/>
      <c r="AF140" s="652"/>
      <c r="AG140" s="652"/>
      <c r="AH140" s="652"/>
      <c r="AI140" s="652"/>
      <c r="AJ140" s="652"/>
      <c r="AK140" s="652"/>
      <c r="AL140" s="652"/>
      <c r="AM140" s="652"/>
    </row>
    <row r="141" spans="1:39" hidden="1" x14ac:dyDescent="0.2">
      <c r="A141" s="652"/>
      <c r="B141" s="652"/>
      <c r="C141" s="652"/>
      <c r="D141" s="652"/>
      <c r="E141" s="652"/>
      <c r="F141" s="652"/>
      <c r="G141" s="652"/>
      <c r="H141" s="652"/>
      <c r="I141" s="652"/>
      <c r="J141" s="652"/>
      <c r="K141" s="652"/>
      <c r="L141" s="657"/>
      <c r="M141" s="657"/>
      <c r="N141" s="657"/>
      <c r="O141" s="652"/>
      <c r="P141" s="652"/>
      <c r="Q141" s="652"/>
      <c r="R141" s="652"/>
      <c r="S141" s="652"/>
      <c r="T141" s="657"/>
      <c r="U141" s="657"/>
      <c r="V141" s="657"/>
      <c r="W141" s="652"/>
      <c r="X141" s="652"/>
      <c r="Y141" s="652"/>
      <c r="Z141" s="652"/>
      <c r="AA141" s="652"/>
      <c r="AB141" s="652"/>
      <c r="AC141" s="652"/>
      <c r="AD141" s="652"/>
      <c r="AE141" s="652"/>
      <c r="AF141" s="652"/>
      <c r="AG141" s="652"/>
      <c r="AH141" s="652"/>
      <c r="AI141" s="652"/>
      <c r="AJ141" s="652"/>
      <c r="AK141" s="652"/>
      <c r="AL141" s="652"/>
      <c r="AM141" s="652"/>
    </row>
    <row r="142" spans="1:39" hidden="1" x14ac:dyDescent="0.2">
      <c r="A142" s="652"/>
      <c r="B142" s="652"/>
      <c r="C142" s="652"/>
      <c r="D142" s="652"/>
      <c r="E142" s="652"/>
      <c r="F142" s="652"/>
      <c r="G142" s="652"/>
      <c r="H142" s="652"/>
      <c r="I142" s="652"/>
      <c r="J142" s="652"/>
      <c r="K142" s="652"/>
      <c r="L142" s="657"/>
      <c r="M142" s="657"/>
      <c r="N142" s="657"/>
      <c r="O142" s="652"/>
      <c r="P142" s="652"/>
      <c r="Q142" s="652"/>
      <c r="R142" s="652"/>
      <c r="S142" s="652"/>
      <c r="T142" s="657"/>
      <c r="U142" s="657"/>
      <c r="V142" s="657"/>
      <c r="W142" s="652"/>
      <c r="X142" s="652"/>
      <c r="Y142" s="652"/>
      <c r="Z142" s="652"/>
      <c r="AA142" s="652"/>
      <c r="AB142" s="652"/>
      <c r="AC142" s="652"/>
      <c r="AD142" s="652"/>
      <c r="AE142" s="652"/>
      <c r="AF142" s="652"/>
      <c r="AG142" s="652"/>
      <c r="AH142" s="652"/>
      <c r="AI142" s="652"/>
      <c r="AJ142" s="652"/>
      <c r="AK142" s="652"/>
      <c r="AL142" s="652"/>
      <c r="AM142" s="652"/>
    </row>
    <row r="143" spans="1:39" hidden="1" x14ac:dyDescent="0.2">
      <c r="A143" s="652"/>
      <c r="B143" s="652"/>
      <c r="C143" s="652"/>
      <c r="D143" s="652"/>
      <c r="E143" s="652"/>
      <c r="F143" s="652"/>
      <c r="G143" s="652"/>
      <c r="H143" s="652"/>
      <c r="I143" s="652"/>
      <c r="J143" s="652"/>
      <c r="K143" s="652"/>
      <c r="L143" s="657"/>
      <c r="M143" s="657"/>
      <c r="N143" s="657"/>
      <c r="O143" s="652"/>
      <c r="P143" s="652"/>
      <c r="Q143" s="652"/>
      <c r="R143" s="652"/>
      <c r="S143" s="652"/>
      <c r="T143" s="657"/>
      <c r="U143" s="657"/>
      <c r="V143" s="657"/>
      <c r="W143" s="652"/>
      <c r="X143" s="652"/>
      <c r="Y143" s="652"/>
      <c r="Z143" s="652"/>
      <c r="AA143" s="652"/>
      <c r="AB143" s="652"/>
      <c r="AC143" s="652"/>
      <c r="AD143" s="652"/>
      <c r="AE143" s="652"/>
      <c r="AF143" s="652"/>
      <c r="AG143" s="652"/>
      <c r="AH143" s="652"/>
      <c r="AI143" s="652"/>
      <c r="AJ143" s="652"/>
      <c r="AK143" s="652"/>
      <c r="AL143" s="652"/>
      <c r="AM143" s="652"/>
    </row>
    <row r="144" spans="1:39" hidden="1" x14ac:dyDescent="0.2">
      <c r="A144" s="652"/>
      <c r="B144" s="652"/>
      <c r="C144" s="652"/>
      <c r="D144" s="652"/>
      <c r="E144" s="652"/>
      <c r="F144" s="652"/>
      <c r="G144" s="652"/>
      <c r="H144" s="652"/>
      <c r="I144" s="652"/>
      <c r="J144" s="652"/>
      <c r="K144" s="652"/>
      <c r="L144" s="657"/>
      <c r="M144" s="657"/>
      <c r="N144" s="657"/>
      <c r="O144" s="652"/>
      <c r="P144" s="652"/>
      <c r="Q144" s="652"/>
      <c r="R144" s="652"/>
      <c r="S144" s="652"/>
      <c r="T144" s="657"/>
      <c r="U144" s="657"/>
      <c r="V144" s="657"/>
      <c r="W144" s="652"/>
      <c r="X144" s="652"/>
      <c r="Y144" s="652"/>
      <c r="Z144" s="652"/>
      <c r="AA144" s="652"/>
      <c r="AB144" s="652"/>
      <c r="AC144" s="652"/>
      <c r="AD144" s="652"/>
      <c r="AE144" s="652"/>
      <c r="AF144" s="652"/>
      <c r="AG144" s="652"/>
      <c r="AH144" s="652"/>
      <c r="AI144" s="652"/>
      <c r="AJ144" s="652"/>
      <c r="AK144" s="652"/>
      <c r="AL144" s="652"/>
      <c r="AM144" s="652"/>
    </row>
    <row r="145" spans="1:39"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652"/>
      <c r="AF145" s="652"/>
      <c r="AG145" s="652"/>
      <c r="AH145" s="652"/>
      <c r="AI145" s="652"/>
      <c r="AJ145" s="652"/>
      <c r="AK145" s="652"/>
      <c r="AL145" s="652"/>
      <c r="AM145" s="652"/>
    </row>
    <row r="146" spans="1:39"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652"/>
      <c r="AF146" s="652"/>
      <c r="AG146" s="652"/>
      <c r="AH146" s="652"/>
      <c r="AI146" s="652"/>
      <c r="AJ146" s="652"/>
      <c r="AK146" s="652"/>
      <c r="AL146" s="652"/>
      <c r="AM146" s="652"/>
    </row>
    <row r="147" spans="1:39"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c r="AI148" s="652"/>
      <c r="AJ148" s="652"/>
      <c r="AK148" s="652"/>
      <c r="AL148" s="652"/>
      <c r="AM148" s="652"/>
    </row>
    <row r="149" spans="1:39"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c r="AH149" s="652"/>
      <c r="AI149" s="652"/>
      <c r="AJ149" s="652"/>
      <c r="AK149" s="652"/>
      <c r="AL149" s="652"/>
      <c r="AM149" s="652"/>
    </row>
    <row r="150" spans="1:39" hidden="1" x14ac:dyDescent="0.2">
      <c r="A150" s="652"/>
      <c r="B150" s="652"/>
      <c r="C150" s="652"/>
      <c r="D150" s="652"/>
      <c r="E150" s="652"/>
      <c r="F150" s="652"/>
      <c r="G150" s="652"/>
      <c r="H150" s="652"/>
      <c r="I150" s="652"/>
      <c r="J150" s="652"/>
      <c r="K150" s="652"/>
      <c r="L150" s="657"/>
      <c r="M150" s="657"/>
      <c r="N150" s="657"/>
      <c r="O150" s="652"/>
      <c r="P150" s="652"/>
      <c r="Q150" s="652"/>
      <c r="R150" s="652"/>
      <c r="S150" s="652"/>
      <c r="T150" s="657"/>
      <c r="U150" s="657"/>
      <c r="V150" s="657"/>
      <c r="W150" s="652"/>
      <c r="X150" s="652"/>
      <c r="Y150" s="652"/>
      <c r="Z150" s="652"/>
      <c r="AA150" s="652"/>
      <c r="AB150" s="652"/>
      <c r="AC150" s="652"/>
      <c r="AD150" s="652"/>
      <c r="AE150" s="652"/>
      <c r="AF150" s="652"/>
      <c r="AG150" s="652"/>
      <c r="AH150" s="652"/>
      <c r="AI150" s="652"/>
      <c r="AJ150" s="652"/>
      <c r="AK150" s="652"/>
      <c r="AL150" s="652"/>
      <c r="AM150" s="652"/>
    </row>
    <row r="151" spans="1:39" hidden="1" x14ac:dyDescent="0.2">
      <c r="A151" s="652"/>
      <c r="B151" s="652"/>
      <c r="C151" s="652"/>
      <c r="D151" s="652"/>
      <c r="E151" s="652"/>
      <c r="F151" s="652"/>
      <c r="G151" s="652"/>
      <c r="H151" s="652"/>
      <c r="I151" s="652"/>
      <c r="J151" s="652"/>
      <c r="K151" s="652"/>
      <c r="L151" s="652"/>
      <c r="M151" s="652"/>
      <c r="N151" s="652"/>
      <c r="O151" s="652"/>
      <c r="P151" s="652"/>
      <c r="Q151" s="652"/>
      <c r="R151" s="652"/>
      <c r="S151" s="652"/>
      <c r="T151" s="652"/>
      <c r="U151" s="652"/>
      <c r="V151" s="652"/>
      <c r="W151" s="652"/>
      <c r="X151" s="652"/>
      <c r="Y151" s="652"/>
      <c r="Z151" s="652"/>
      <c r="AA151" s="652"/>
      <c r="AB151" s="652"/>
      <c r="AC151" s="652"/>
      <c r="AD151" s="652"/>
      <c r="AE151" s="652"/>
      <c r="AF151" s="652"/>
      <c r="AG151" s="652"/>
      <c r="AH151" s="652"/>
      <c r="AI151" s="652"/>
      <c r="AJ151" s="652"/>
      <c r="AK151" s="652"/>
      <c r="AL151" s="652"/>
      <c r="AM151" s="652"/>
    </row>
    <row r="152" spans="1:39" hidden="1" x14ac:dyDescent="0.2">
      <c r="A152" s="652"/>
      <c r="B152" s="652"/>
      <c r="C152" s="652"/>
      <c r="D152" s="652"/>
      <c r="E152" s="652"/>
      <c r="F152" s="652"/>
      <c r="G152" s="652"/>
      <c r="H152" s="652"/>
      <c r="I152" s="652"/>
      <c r="J152" s="652"/>
      <c r="K152" s="652"/>
      <c r="L152" s="652"/>
      <c r="M152" s="652"/>
      <c r="N152" s="652"/>
      <c r="O152" s="652"/>
      <c r="P152" s="652"/>
      <c r="Q152" s="652"/>
      <c r="R152" s="652"/>
      <c r="S152" s="652"/>
      <c r="T152" s="652"/>
      <c r="U152" s="652"/>
      <c r="V152" s="652"/>
      <c r="W152" s="652"/>
      <c r="X152" s="652"/>
      <c r="Y152" s="652"/>
      <c r="Z152" s="652"/>
      <c r="AA152" s="652"/>
      <c r="AB152" s="652"/>
      <c r="AC152" s="652"/>
      <c r="AD152" s="652"/>
      <c r="AE152" s="652"/>
      <c r="AF152" s="652"/>
      <c r="AG152" s="652"/>
      <c r="AH152" s="652"/>
      <c r="AI152" s="652"/>
      <c r="AJ152" s="652"/>
      <c r="AK152" s="652"/>
      <c r="AL152" s="652"/>
      <c r="AM152" s="652"/>
    </row>
    <row r="153" spans="1:39" hidden="1" x14ac:dyDescent="0.2">
      <c r="A153" s="652"/>
      <c r="B153" s="652"/>
      <c r="C153" s="652"/>
      <c r="D153" s="652"/>
      <c r="E153" s="652"/>
      <c r="F153" s="652"/>
      <c r="G153" s="652"/>
      <c r="H153" s="652"/>
      <c r="I153" s="652"/>
      <c r="J153" s="652"/>
      <c r="K153" s="652"/>
      <c r="L153" s="652"/>
      <c r="M153" s="652"/>
      <c r="N153" s="652"/>
      <c r="O153" s="652"/>
      <c r="P153" s="652"/>
      <c r="Q153" s="652"/>
      <c r="R153" s="652"/>
      <c r="S153" s="652"/>
      <c r="T153" s="652"/>
      <c r="U153" s="652"/>
      <c r="V153" s="652"/>
      <c r="W153" s="652"/>
      <c r="X153" s="652"/>
      <c r="Y153" s="652"/>
      <c r="Z153" s="652"/>
      <c r="AA153" s="652"/>
      <c r="AB153" s="652"/>
      <c r="AC153" s="652"/>
      <c r="AD153" s="652"/>
      <c r="AE153" s="652"/>
      <c r="AF153" s="652"/>
      <c r="AG153" s="652"/>
      <c r="AH153" s="652"/>
      <c r="AI153" s="652"/>
      <c r="AJ153" s="652"/>
      <c r="AK153" s="652"/>
      <c r="AL153" s="652"/>
      <c r="AM153" s="652"/>
    </row>
    <row r="154" spans="1:39" hidden="1" x14ac:dyDescent="0.2">
      <c r="A154" s="652"/>
      <c r="B154" s="652"/>
      <c r="C154" s="652"/>
      <c r="D154" s="652"/>
      <c r="E154" s="652"/>
      <c r="F154" s="652"/>
      <c r="G154" s="652"/>
      <c r="H154" s="652"/>
      <c r="I154" s="652"/>
      <c r="J154" s="652"/>
      <c r="K154" s="652"/>
      <c r="L154" s="652"/>
      <c r="M154" s="652"/>
      <c r="N154" s="652"/>
      <c r="O154" s="652"/>
      <c r="P154" s="652"/>
      <c r="Q154" s="652"/>
      <c r="R154" s="652"/>
      <c r="S154" s="652"/>
      <c r="T154" s="652"/>
      <c r="U154" s="652"/>
      <c r="V154" s="652"/>
      <c r="W154" s="652"/>
      <c r="X154" s="652"/>
      <c r="Y154" s="652"/>
      <c r="Z154" s="652"/>
      <c r="AA154" s="652"/>
      <c r="AB154" s="652"/>
      <c r="AC154" s="652"/>
      <c r="AD154" s="652"/>
      <c r="AE154" s="652"/>
      <c r="AF154" s="652"/>
      <c r="AG154" s="652"/>
      <c r="AH154" s="652"/>
      <c r="AI154" s="652"/>
      <c r="AJ154" s="652"/>
      <c r="AK154" s="652"/>
      <c r="AL154" s="652"/>
      <c r="AM154" s="652"/>
    </row>
    <row r="155" spans="1:39" hidden="1" x14ac:dyDescent="0.2">
      <c r="A155" s="652"/>
      <c r="B155" s="652"/>
      <c r="C155" s="652"/>
      <c r="D155" s="652"/>
      <c r="E155" s="652"/>
      <c r="F155" s="652"/>
      <c r="G155" s="652"/>
      <c r="H155" s="652"/>
      <c r="I155" s="652"/>
      <c r="J155" s="652"/>
      <c r="K155" s="652"/>
      <c r="L155" s="652"/>
      <c r="M155" s="652"/>
      <c r="N155" s="652"/>
      <c r="O155" s="652"/>
      <c r="P155" s="652"/>
      <c r="Q155" s="652"/>
      <c r="R155" s="652"/>
      <c r="S155" s="652"/>
      <c r="T155" s="652"/>
      <c r="U155" s="652"/>
      <c r="V155" s="652"/>
      <c r="W155" s="652"/>
      <c r="X155" s="652"/>
      <c r="Y155" s="652"/>
      <c r="Z155" s="652"/>
      <c r="AA155" s="652"/>
      <c r="AB155" s="652"/>
      <c r="AC155" s="652"/>
      <c r="AD155" s="652"/>
      <c r="AE155" s="652"/>
      <c r="AF155" s="652"/>
      <c r="AG155" s="652"/>
      <c r="AH155" s="652"/>
      <c r="AI155" s="652"/>
      <c r="AJ155" s="652"/>
      <c r="AK155" s="652"/>
      <c r="AL155" s="652"/>
      <c r="AM155" s="652"/>
    </row>
    <row r="156" spans="1:39" hidden="1" x14ac:dyDescent="0.2">
      <c r="A156" s="652"/>
      <c r="B156" s="652"/>
      <c r="C156" s="652"/>
      <c r="D156" s="652"/>
      <c r="E156" s="652"/>
      <c r="F156" s="652"/>
      <c r="G156" s="652"/>
      <c r="H156" s="652"/>
      <c r="I156" s="652"/>
      <c r="J156" s="652"/>
      <c r="K156" s="652"/>
      <c r="L156" s="652"/>
      <c r="M156" s="652"/>
      <c r="N156" s="652"/>
      <c r="O156" s="652"/>
      <c r="P156" s="652"/>
      <c r="Q156" s="652"/>
      <c r="R156" s="652"/>
      <c r="S156" s="652"/>
      <c r="T156" s="652"/>
      <c r="U156" s="652"/>
      <c r="V156" s="652"/>
      <c r="W156" s="652"/>
      <c r="X156" s="652"/>
      <c r="Y156" s="652"/>
      <c r="Z156" s="652"/>
      <c r="AA156" s="652"/>
      <c r="AB156" s="652"/>
      <c r="AC156" s="652"/>
      <c r="AD156" s="652"/>
      <c r="AE156" s="652"/>
      <c r="AF156" s="652"/>
      <c r="AG156" s="652"/>
      <c r="AH156" s="652"/>
      <c r="AI156" s="652"/>
      <c r="AJ156" s="652"/>
      <c r="AK156" s="652"/>
      <c r="AL156" s="652"/>
      <c r="AM156" s="652"/>
    </row>
    <row r="157" spans="1:39" hidden="1" x14ac:dyDescent="0.2">
      <c r="A157" s="652"/>
      <c r="B157" s="652"/>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652"/>
      <c r="AK157" s="652"/>
      <c r="AL157" s="652"/>
      <c r="AM157" s="652"/>
    </row>
    <row r="158" spans="1:39" hidden="1" x14ac:dyDescent="0.2">
      <c r="A158" s="652"/>
      <c r="B158" s="652"/>
      <c r="C158" s="652"/>
      <c r="D158" s="652"/>
      <c r="E158" s="652"/>
      <c r="F158" s="652"/>
      <c r="G158" s="652"/>
      <c r="H158" s="652"/>
      <c r="I158" s="652"/>
      <c r="J158" s="652"/>
      <c r="K158" s="652"/>
      <c r="L158" s="652"/>
      <c r="M158" s="652"/>
      <c r="N158" s="652"/>
      <c r="O158" s="652"/>
      <c r="P158" s="652"/>
      <c r="Q158" s="652"/>
      <c r="R158" s="652"/>
      <c r="S158" s="652"/>
      <c r="T158" s="652"/>
      <c r="U158" s="652"/>
      <c r="V158" s="652"/>
      <c r="W158" s="652"/>
      <c r="X158" s="652"/>
      <c r="Y158" s="652"/>
      <c r="Z158" s="652"/>
      <c r="AA158" s="652"/>
      <c r="AB158" s="652"/>
      <c r="AC158" s="652"/>
      <c r="AD158" s="652"/>
      <c r="AE158" s="652"/>
      <c r="AF158" s="652"/>
      <c r="AG158" s="652"/>
      <c r="AH158" s="652"/>
      <c r="AI158" s="652"/>
      <c r="AJ158" s="652"/>
      <c r="AK158" s="652"/>
      <c r="AL158" s="652"/>
      <c r="AM158" s="652"/>
    </row>
    <row r="159" spans="1:39" hidden="1" x14ac:dyDescent="0.2">
      <c r="A159" s="652"/>
      <c r="B159" s="652"/>
      <c r="C159" s="652"/>
      <c r="D159" s="652"/>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652"/>
      <c r="AF159" s="652"/>
      <c r="AG159" s="652"/>
      <c r="AH159" s="652"/>
      <c r="AI159" s="652"/>
      <c r="AJ159" s="652"/>
      <c r="AK159" s="652"/>
      <c r="AL159" s="652"/>
      <c r="AM159" s="652"/>
    </row>
    <row r="160" spans="1:39" hidden="1" x14ac:dyDescent="0.2">
      <c r="A160" s="652"/>
      <c r="B160" s="652"/>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row>
    <row r="161" spans="1:39"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row>
    <row r="162" spans="1:39" hidden="1" x14ac:dyDescent="0.2">
      <c r="A162" s="652"/>
      <c r="B162" s="652"/>
      <c r="C162" s="652"/>
      <c r="D162" s="652"/>
      <c r="E162" s="652"/>
      <c r="F162" s="652"/>
      <c r="G162" s="652"/>
      <c r="H162" s="652"/>
      <c r="I162" s="652"/>
      <c r="J162" s="652"/>
      <c r="K162" s="652"/>
      <c r="L162" s="652"/>
      <c r="M162" s="652"/>
      <c r="N162" s="652"/>
      <c r="O162" s="652"/>
      <c r="P162" s="652"/>
      <c r="Q162" s="652"/>
      <c r="R162" s="652"/>
      <c r="S162" s="652"/>
      <c r="T162" s="652"/>
      <c r="U162" s="652"/>
      <c r="V162" s="652"/>
      <c r="W162" s="652"/>
      <c r="X162" s="652"/>
      <c r="Y162" s="652"/>
      <c r="Z162" s="652"/>
      <c r="AA162" s="652"/>
      <c r="AB162" s="652"/>
      <c r="AC162" s="652"/>
      <c r="AD162" s="652"/>
      <c r="AE162" s="652"/>
      <c r="AF162" s="652"/>
      <c r="AG162" s="652"/>
      <c r="AH162" s="652"/>
      <c r="AI162" s="652"/>
      <c r="AJ162" s="652"/>
      <c r="AK162" s="652"/>
      <c r="AL162" s="652"/>
      <c r="AM162" s="652"/>
    </row>
    <row r="163" spans="1:39" hidden="1" x14ac:dyDescent="0.2">
      <c r="A163" s="652"/>
      <c r="B163" s="652"/>
      <c r="C163" s="652"/>
      <c r="D163" s="652"/>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52"/>
      <c r="AE163" s="652"/>
      <c r="AF163" s="652"/>
      <c r="AG163" s="652"/>
      <c r="AH163" s="652"/>
      <c r="AI163" s="652"/>
      <c r="AJ163" s="652"/>
      <c r="AK163" s="652"/>
      <c r="AL163" s="652"/>
      <c r="AM163" s="652"/>
    </row>
    <row r="164" spans="1:39" hidden="1" x14ac:dyDescent="0.2">
      <c r="A164" s="652"/>
      <c r="B164" s="652"/>
      <c r="C164" s="652"/>
      <c r="D164" s="652"/>
      <c r="E164" s="652"/>
      <c r="F164" s="652"/>
      <c r="G164" s="652"/>
      <c r="H164" s="652"/>
      <c r="I164" s="652"/>
      <c r="J164" s="652"/>
      <c r="K164" s="652"/>
      <c r="L164" s="657"/>
      <c r="M164" s="657"/>
      <c r="N164" s="657"/>
      <c r="O164" s="652"/>
      <c r="P164" s="652"/>
      <c r="Q164" s="652"/>
      <c r="R164" s="652"/>
      <c r="S164" s="652"/>
      <c r="T164" s="657"/>
      <c r="U164" s="657"/>
      <c r="V164" s="657"/>
      <c r="W164" s="652"/>
      <c r="X164" s="652"/>
      <c r="Y164" s="652"/>
      <c r="Z164" s="652"/>
      <c r="AA164" s="652"/>
      <c r="AB164" s="652"/>
      <c r="AC164" s="652"/>
      <c r="AD164" s="652"/>
      <c r="AE164" s="652"/>
      <c r="AF164" s="652"/>
      <c r="AG164" s="652"/>
      <c r="AH164" s="652"/>
      <c r="AI164" s="652"/>
      <c r="AJ164" s="652"/>
      <c r="AK164" s="652"/>
      <c r="AL164" s="652"/>
      <c r="AM164" s="652"/>
    </row>
    <row r="165" spans="1:39" hidden="1" x14ac:dyDescent="0.2">
      <c r="A165" s="652"/>
      <c r="B165" s="652"/>
      <c r="C165" s="652"/>
      <c r="D165" s="652"/>
      <c r="E165" s="652"/>
      <c r="F165" s="652"/>
      <c r="G165" s="652"/>
      <c r="H165" s="652"/>
      <c r="I165" s="652"/>
      <c r="J165" s="652"/>
      <c r="K165" s="652"/>
      <c r="L165" s="657"/>
      <c r="M165" s="657"/>
      <c r="N165" s="657"/>
      <c r="O165" s="652"/>
      <c r="P165" s="652"/>
      <c r="Q165" s="652"/>
      <c r="R165" s="652"/>
      <c r="S165" s="652"/>
      <c r="T165" s="657"/>
      <c r="U165" s="657"/>
      <c r="V165" s="657"/>
      <c r="W165" s="652"/>
      <c r="X165" s="652"/>
      <c r="Y165" s="652"/>
      <c r="Z165" s="652"/>
      <c r="AA165" s="652"/>
      <c r="AB165" s="652"/>
      <c r="AC165" s="652"/>
      <c r="AD165" s="652"/>
      <c r="AE165" s="652"/>
      <c r="AF165" s="652"/>
      <c r="AG165" s="652"/>
      <c r="AH165" s="652"/>
      <c r="AI165" s="652"/>
      <c r="AJ165" s="652"/>
      <c r="AK165" s="652"/>
      <c r="AL165" s="652"/>
      <c r="AM165" s="652"/>
    </row>
    <row r="166" spans="1:39" hidden="1" x14ac:dyDescent="0.2">
      <c r="A166" s="652"/>
      <c r="B166" s="652"/>
      <c r="C166" s="652"/>
      <c r="D166" s="652"/>
      <c r="E166" s="652"/>
      <c r="F166" s="652"/>
      <c r="G166" s="652"/>
      <c r="H166" s="652"/>
      <c r="I166" s="652"/>
      <c r="J166" s="652"/>
      <c r="K166" s="652"/>
      <c r="L166" s="657"/>
      <c r="M166" s="657"/>
      <c r="N166" s="657"/>
      <c r="O166" s="652"/>
      <c r="P166" s="652"/>
      <c r="Q166" s="652"/>
      <c r="R166" s="652"/>
      <c r="S166" s="652"/>
      <c r="T166" s="657"/>
      <c r="U166" s="657"/>
      <c r="V166" s="657"/>
      <c r="W166" s="652"/>
      <c r="X166" s="652"/>
      <c r="Y166" s="652"/>
      <c r="Z166" s="652"/>
      <c r="AA166" s="652"/>
      <c r="AB166" s="652"/>
      <c r="AC166" s="652"/>
      <c r="AD166" s="652"/>
      <c r="AE166" s="652"/>
      <c r="AF166" s="652"/>
      <c r="AG166" s="652"/>
      <c r="AH166" s="652"/>
      <c r="AI166" s="652"/>
      <c r="AJ166" s="652"/>
      <c r="AK166" s="652"/>
      <c r="AL166" s="652"/>
      <c r="AM166" s="652"/>
    </row>
    <row r="167" spans="1:39" hidden="1" x14ac:dyDescent="0.2">
      <c r="A167" s="652"/>
      <c r="B167" s="652"/>
      <c r="C167" s="652"/>
      <c r="D167" s="652"/>
      <c r="E167" s="652"/>
      <c r="F167" s="652"/>
      <c r="G167" s="652"/>
      <c r="H167" s="652"/>
      <c r="I167" s="652"/>
      <c r="J167" s="652"/>
      <c r="K167" s="652"/>
      <c r="L167" s="657"/>
      <c r="M167" s="657"/>
      <c r="N167" s="657"/>
      <c r="O167" s="652"/>
      <c r="P167" s="652"/>
      <c r="Q167" s="652"/>
      <c r="R167" s="652"/>
      <c r="S167" s="652"/>
      <c r="T167" s="657"/>
      <c r="U167" s="657"/>
      <c r="V167" s="657"/>
      <c r="W167" s="652"/>
      <c r="X167" s="652"/>
      <c r="Y167" s="652"/>
      <c r="Z167" s="652"/>
      <c r="AA167" s="652"/>
      <c r="AB167" s="652"/>
      <c r="AC167" s="652"/>
      <c r="AD167" s="652"/>
      <c r="AE167" s="652"/>
      <c r="AF167" s="652"/>
      <c r="AG167" s="652"/>
      <c r="AH167" s="652"/>
      <c r="AI167" s="652"/>
      <c r="AJ167" s="652"/>
      <c r="AK167" s="652"/>
      <c r="AL167" s="652"/>
      <c r="AM167" s="652"/>
    </row>
    <row r="168" spans="1:39" hidden="1" x14ac:dyDescent="0.2">
      <c r="A168" s="652"/>
      <c r="B168" s="652"/>
      <c r="C168" s="652"/>
      <c r="D168" s="652"/>
      <c r="E168" s="652"/>
      <c r="F168" s="652"/>
      <c r="G168" s="652"/>
      <c r="H168" s="652"/>
      <c r="I168" s="652"/>
      <c r="J168" s="652"/>
      <c r="K168" s="652"/>
      <c r="L168" s="657"/>
      <c r="M168" s="657"/>
      <c r="N168" s="657"/>
      <c r="O168" s="652"/>
      <c r="P168" s="652"/>
      <c r="Q168" s="652"/>
      <c r="R168" s="652"/>
      <c r="S168" s="652"/>
      <c r="T168" s="657"/>
      <c r="U168" s="657"/>
      <c r="V168" s="657"/>
      <c r="W168" s="652"/>
      <c r="X168" s="652"/>
      <c r="Y168" s="652"/>
      <c r="Z168" s="652"/>
      <c r="AA168" s="652"/>
      <c r="AB168" s="652"/>
      <c r="AC168" s="652"/>
      <c r="AD168" s="652"/>
      <c r="AE168" s="652"/>
      <c r="AF168" s="652"/>
      <c r="AG168" s="652"/>
      <c r="AH168" s="652"/>
      <c r="AI168" s="652"/>
      <c r="AJ168" s="652"/>
      <c r="AK168" s="652"/>
      <c r="AL168" s="652"/>
      <c r="AM168" s="652"/>
    </row>
    <row r="169" spans="1:39" hidden="1" x14ac:dyDescent="0.2">
      <c r="A169" s="652"/>
      <c r="B169" s="652"/>
      <c r="C169" s="652"/>
      <c r="D169" s="652"/>
      <c r="E169" s="652"/>
      <c r="F169" s="652"/>
      <c r="G169" s="652"/>
      <c r="H169" s="652"/>
      <c r="I169" s="652"/>
      <c r="J169" s="652"/>
      <c r="K169" s="652"/>
      <c r="L169" s="657"/>
      <c r="M169" s="657"/>
      <c r="N169" s="657"/>
      <c r="O169" s="652"/>
      <c r="P169" s="652"/>
      <c r="Q169" s="652"/>
      <c r="R169" s="652"/>
      <c r="S169" s="652"/>
      <c r="T169" s="657"/>
      <c r="U169" s="657"/>
      <c r="V169" s="657"/>
      <c r="W169" s="652"/>
      <c r="X169" s="652"/>
      <c r="Y169" s="652"/>
      <c r="Z169" s="652"/>
      <c r="AA169" s="652"/>
      <c r="AB169" s="652"/>
      <c r="AC169" s="652"/>
      <c r="AD169" s="652"/>
      <c r="AE169" s="652"/>
      <c r="AF169" s="652"/>
      <c r="AG169" s="652"/>
      <c r="AH169" s="652"/>
      <c r="AI169" s="652"/>
      <c r="AJ169" s="652"/>
      <c r="AK169" s="652"/>
      <c r="AL169" s="652"/>
      <c r="AM169" s="652"/>
    </row>
    <row r="170" spans="1:39" hidden="1" x14ac:dyDescent="0.2">
      <c r="A170" s="652"/>
      <c r="B170" s="652"/>
      <c r="C170" s="652"/>
      <c r="D170" s="652"/>
      <c r="E170" s="652"/>
      <c r="F170" s="652"/>
      <c r="G170" s="652"/>
      <c r="H170" s="652"/>
      <c r="I170" s="652"/>
      <c r="J170" s="652"/>
      <c r="K170" s="652"/>
      <c r="L170" s="657"/>
      <c r="M170" s="657"/>
      <c r="N170" s="657"/>
      <c r="O170" s="652"/>
      <c r="P170" s="652"/>
      <c r="Q170" s="652"/>
      <c r="R170" s="652"/>
      <c r="S170" s="652"/>
      <c r="T170" s="657"/>
      <c r="U170" s="657"/>
      <c r="V170" s="657"/>
      <c r="W170" s="652"/>
      <c r="X170" s="652"/>
      <c r="Y170" s="652"/>
      <c r="Z170" s="652"/>
      <c r="AA170" s="652"/>
      <c r="AB170" s="652"/>
      <c r="AC170" s="652"/>
      <c r="AD170" s="652"/>
      <c r="AE170" s="652"/>
      <c r="AF170" s="652"/>
      <c r="AG170" s="652"/>
      <c r="AH170" s="652"/>
      <c r="AI170" s="652"/>
      <c r="AJ170" s="652"/>
      <c r="AK170" s="652"/>
      <c r="AL170" s="652"/>
      <c r="AM170" s="652"/>
    </row>
    <row r="171" spans="1:39" hidden="1" x14ac:dyDescent="0.2">
      <c r="A171" s="652"/>
      <c r="B171" s="652"/>
      <c r="C171" s="652"/>
      <c r="D171" s="652"/>
      <c r="E171" s="652"/>
      <c r="F171" s="652"/>
      <c r="G171" s="652"/>
      <c r="H171" s="652"/>
      <c r="I171" s="652"/>
      <c r="J171" s="652"/>
      <c r="K171" s="652"/>
      <c r="L171" s="657"/>
      <c r="M171" s="657"/>
      <c r="N171" s="657"/>
      <c r="O171" s="652"/>
      <c r="P171" s="652"/>
      <c r="Q171" s="652"/>
      <c r="R171" s="652"/>
      <c r="S171" s="652"/>
      <c r="T171" s="657"/>
      <c r="U171" s="657"/>
      <c r="V171" s="657"/>
      <c r="W171" s="652"/>
      <c r="X171" s="652"/>
      <c r="Y171" s="652"/>
      <c r="Z171" s="652"/>
      <c r="AA171" s="652"/>
      <c r="AB171" s="652"/>
      <c r="AC171" s="652"/>
      <c r="AD171" s="652"/>
      <c r="AE171" s="652"/>
      <c r="AF171" s="652"/>
      <c r="AG171" s="652"/>
      <c r="AH171" s="652"/>
      <c r="AI171" s="652"/>
      <c r="AJ171" s="652"/>
      <c r="AK171" s="652"/>
      <c r="AL171" s="652"/>
      <c r="AM171" s="652"/>
    </row>
    <row r="172" spans="1:39" hidden="1" x14ac:dyDescent="0.2">
      <c r="A172" s="652"/>
      <c r="B172" s="652"/>
      <c r="C172" s="652"/>
      <c r="D172" s="652"/>
      <c r="E172" s="652"/>
      <c r="F172" s="652"/>
      <c r="G172" s="652"/>
      <c r="H172" s="652"/>
      <c r="I172" s="652"/>
      <c r="J172" s="652"/>
      <c r="K172" s="652"/>
      <c r="L172" s="657"/>
      <c r="M172" s="657"/>
      <c r="N172" s="657"/>
      <c r="O172" s="652"/>
      <c r="P172" s="652"/>
      <c r="Q172" s="652"/>
      <c r="R172" s="652"/>
      <c r="S172" s="652"/>
      <c r="T172" s="657"/>
      <c r="U172" s="657"/>
      <c r="V172" s="657"/>
      <c r="W172" s="652"/>
      <c r="X172" s="652"/>
      <c r="Y172" s="652"/>
      <c r="Z172" s="652"/>
      <c r="AA172" s="652"/>
      <c r="AB172" s="652"/>
      <c r="AC172" s="652"/>
      <c r="AD172" s="652"/>
      <c r="AE172" s="652"/>
      <c r="AF172" s="652"/>
      <c r="AG172" s="652"/>
      <c r="AH172" s="652"/>
      <c r="AI172" s="652"/>
      <c r="AJ172" s="652"/>
      <c r="AK172" s="652"/>
      <c r="AL172" s="652"/>
      <c r="AM172" s="652"/>
    </row>
    <row r="173" spans="1:39" hidden="1" x14ac:dyDescent="0.2">
      <c r="A173" s="652"/>
      <c r="B173" s="652"/>
      <c r="C173" s="652"/>
      <c r="D173" s="652"/>
      <c r="E173" s="652"/>
      <c r="F173" s="652"/>
      <c r="G173" s="652"/>
      <c r="H173" s="652"/>
      <c r="I173" s="652"/>
      <c r="J173" s="652"/>
      <c r="K173" s="652"/>
      <c r="L173" s="657"/>
      <c r="M173" s="657"/>
      <c r="N173" s="657"/>
      <c r="O173" s="652"/>
      <c r="P173" s="652"/>
      <c r="Q173" s="652"/>
      <c r="R173" s="652"/>
      <c r="S173" s="652"/>
      <c r="T173" s="657"/>
      <c r="U173" s="657"/>
      <c r="V173" s="657"/>
      <c r="W173" s="652"/>
      <c r="X173" s="652"/>
      <c r="Y173" s="652"/>
      <c r="Z173" s="652"/>
      <c r="AA173" s="652"/>
      <c r="AB173" s="652"/>
      <c r="AC173" s="652"/>
      <c r="AD173" s="652"/>
      <c r="AE173" s="652"/>
      <c r="AF173" s="652"/>
      <c r="AG173" s="652"/>
      <c r="AH173" s="652"/>
      <c r="AI173" s="652"/>
      <c r="AJ173" s="652"/>
      <c r="AK173" s="652"/>
      <c r="AL173" s="652"/>
      <c r="AM173" s="652"/>
    </row>
    <row r="174" spans="1:39"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652"/>
      <c r="AF174" s="652"/>
      <c r="AG174" s="652"/>
      <c r="AH174" s="652"/>
      <c r="AI174" s="652"/>
      <c r="AJ174" s="652"/>
      <c r="AK174" s="652"/>
      <c r="AL174" s="652"/>
      <c r="AM174" s="652"/>
    </row>
    <row r="175" spans="1:39"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652"/>
      <c r="AF175" s="652"/>
      <c r="AG175" s="652"/>
      <c r="AH175" s="652"/>
      <c r="AI175" s="652"/>
      <c r="AJ175" s="652"/>
      <c r="AK175" s="652"/>
      <c r="AL175" s="652"/>
      <c r="AM175" s="652"/>
    </row>
    <row r="176" spans="1:39"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c r="AI284" s="652"/>
      <c r="AJ284" s="652"/>
      <c r="AK284" s="652"/>
      <c r="AL284" s="652"/>
      <c r="AM284" s="652"/>
    </row>
    <row r="285" spans="1:39"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c r="AH285" s="652"/>
      <c r="AI285" s="652"/>
      <c r="AJ285" s="652"/>
      <c r="AK285" s="652"/>
      <c r="AL285" s="652"/>
      <c r="AM285" s="652"/>
    </row>
    <row r="286" spans="1:39" hidden="1" x14ac:dyDescent="0.2">
      <c r="A286" s="652"/>
      <c r="B286" s="652"/>
      <c r="C286" s="652"/>
      <c r="D286" s="652"/>
      <c r="E286" s="652"/>
      <c r="F286" s="652"/>
      <c r="G286" s="652"/>
      <c r="H286" s="652"/>
      <c r="I286" s="652"/>
      <c r="J286" s="652"/>
      <c r="K286" s="652"/>
      <c r="L286" s="657"/>
      <c r="M286" s="657"/>
      <c r="N286" s="657"/>
      <c r="O286" s="652"/>
      <c r="P286" s="652"/>
      <c r="Q286" s="652"/>
      <c r="R286" s="652"/>
      <c r="S286" s="652"/>
      <c r="T286" s="657"/>
      <c r="U286" s="657"/>
      <c r="V286" s="657"/>
      <c r="W286" s="652"/>
      <c r="X286" s="652"/>
      <c r="Y286" s="652"/>
      <c r="Z286" s="652"/>
      <c r="AA286" s="652"/>
      <c r="AB286" s="652"/>
      <c r="AC286" s="652"/>
      <c r="AD286" s="652"/>
      <c r="AE286" s="652"/>
      <c r="AF286" s="652"/>
      <c r="AG286" s="652"/>
      <c r="AH286" s="652"/>
      <c r="AI286" s="652"/>
      <c r="AJ286" s="652"/>
      <c r="AK286" s="652"/>
      <c r="AL286" s="652"/>
      <c r="AM286" s="652"/>
    </row>
    <row r="287" spans="1:39" hidden="1" x14ac:dyDescent="0.2">
      <c r="G287" s="652"/>
      <c r="H287" s="652"/>
      <c r="I287" s="652"/>
      <c r="J287" s="652"/>
      <c r="K287" s="652"/>
      <c r="L287" s="652"/>
      <c r="M287" s="652"/>
      <c r="N287" s="652"/>
      <c r="O287" s="652"/>
      <c r="P287" s="652"/>
      <c r="Q287" s="652"/>
      <c r="R287" s="652"/>
      <c r="S287" s="652"/>
      <c r="T287" s="652"/>
      <c r="U287" s="652"/>
      <c r="V287" s="652"/>
      <c r="W287" s="652"/>
      <c r="X287" s="652"/>
      <c r="Y287" s="652"/>
      <c r="Z287" s="652"/>
      <c r="AA287" s="652"/>
      <c r="AB287" s="652"/>
      <c r="AC287" s="652"/>
      <c r="AD287" s="652"/>
      <c r="AE287" s="652"/>
      <c r="AF287" s="652"/>
      <c r="AG287" s="652"/>
      <c r="AH287" s="652"/>
      <c r="AI287" s="652"/>
      <c r="AJ287" s="652"/>
      <c r="AK287" s="652"/>
      <c r="AL287" s="652"/>
      <c r="AM287" s="652"/>
    </row>
    <row r="288" spans="1:39" hidden="1" x14ac:dyDescent="0.2">
      <c r="G288" s="652"/>
      <c r="H288" s="652"/>
      <c r="I288" s="652"/>
      <c r="J288" s="652"/>
      <c r="K288" s="652"/>
      <c r="L288" s="652"/>
      <c r="M288" s="652"/>
      <c r="N288" s="652"/>
      <c r="O288" s="652"/>
      <c r="P288" s="652"/>
      <c r="Q288" s="652"/>
      <c r="R288" s="652"/>
      <c r="S288" s="652"/>
      <c r="T288" s="652"/>
      <c r="U288" s="652"/>
      <c r="V288" s="652"/>
      <c r="W288" s="652"/>
      <c r="X288" s="652"/>
      <c r="Y288" s="652"/>
      <c r="Z288" s="652"/>
      <c r="AA288" s="652"/>
      <c r="AB288" s="652"/>
      <c r="AC288" s="652"/>
      <c r="AD288" s="652"/>
      <c r="AE288" s="652"/>
      <c r="AF288" s="652"/>
      <c r="AG288" s="652"/>
      <c r="AH288" s="652"/>
      <c r="AI288" s="652"/>
      <c r="AJ288" s="652"/>
      <c r="AK288" s="652"/>
      <c r="AL288" s="652"/>
      <c r="AM288" s="652"/>
    </row>
    <row r="289" spans="1:39" hidden="1" x14ac:dyDescent="0.2">
      <c r="G289" s="652"/>
      <c r="H289" s="652"/>
      <c r="I289" s="652"/>
      <c r="J289" s="652"/>
      <c r="K289" s="652"/>
      <c r="L289" s="652"/>
      <c r="M289" s="652"/>
      <c r="N289" s="652"/>
      <c r="O289" s="652"/>
      <c r="P289" s="652"/>
      <c r="Q289" s="652"/>
      <c r="R289" s="652"/>
      <c r="S289" s="652"/>
      <c r="T289" s="652"/>
      <c r="U289" s="652"/>
      <c r="V289" s="652"/>
      <c r="W289" s="703"/>
      <c r="X289" s="652"/>
      <c r="Y289" s="652"/>
      <c r="Z289" s="652"/>
      <c r="AA289" s="652"/>
      <c r="AB289" s="652"/>
      <c r="AC289" s="652"/>
      <c r="AD289" s="652"/>
      <c r="AE289" s="652"/>
      <c r="AF289" s="652"/>
      <c r="AG289" s="652"/>
      <c r="AH289" s="652"/>
      <c r="AI289" s="652"/>
      <c r="AJ289" s="652"/>
      <c r="AK289" s="652"/>
      <c r="AL289" s="652"/>
      <c r="AM289" s="652"/>
    </row>
    <row r="290" spans="1:39" hidden="1" x14ac:dyDescent="0.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c r="AI290" s="652"/>
      <c r="AJ290" s="652"/>
      <c r="AK290" s="652"/>
      <c r="AL290" s="652"/>
      <c r="AM290" s="652"/>
    </row>
    <row r="291" spans="1:39" hidden="1" x14ac:dyDescent="0.2">
      <c r="G291" s="652"/>
      <c r="H291" s="652"/>
      <c r="I291" s="652"/>
      <c r="J291" s="652"/>
      <c r="K291" s="652"/>
      <c r="L291" s="652"/>
      <c r="M291" s="652"/>
      <c r="N291" s="652"/>
      <c r="O291" s="652"/>
      <c r="P291" s="652"/>
      <c r="Q291" s="652"/>
      <c r="R291" s="652"/>
      <c r="S291" s="652"/>
      <c r="T291" s="652"/>
      <c r="U291" s="652"/>
      <c r="V291" s="652"/>
      <c r="W291" s="652"/>
      <c r="X291" s="652"/>
      <c r="Y291" s="652"/>
      <c r="Z291" s="652"/>
      <c r="AA291" s="652"/>
      <c r="AB291" s="652"/>
      <c r="AC291" s="652"/>
      <c r="AD291" s="652"/>
      <c r="AE291" s="652"/>
      <c r="AF291" s="652"/>
      <c r="AG291" s="652"/>
      <c r="AH291" s="652"/>
      <c r="AI291" s="652"/>
      <c r="AJ291" s="652"/>
      <c r="AK291" s="652"/>
      <c r="AL291" s="652"/>
      <c r="AM291" s="652"/>
    </row>
    <row r="292" spans="1:39" hidden="1" x14ac:dyDescent="0.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652"/>
      <c r="AF292" s="652"/>
      <c r="AG292" s="652"/>
      <c r="AH292" s="652"/>
      <c r="AI292" s="652"/>
      <c r="AJ292" s="652"/>
      <c r="AK292" s="652"/>
      <c r="AL292" s="652"/>
      <c r="AM292" s="652"/>
    </row>
    <row r="293" spans="1:39" hidden="1" x14ac:dyDescent="0.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652"/>
      <c r="AI293" s="652"/>
      <c r="AJ293" s="652"/>
      <c r="AK293" s="652"/>
      <c r="AL293" s="652"/>
      <c r="AM293" s="652"/>
    </row>
    <row r="294" spans="1:39" hidden="1" x14ac:dyDescent="0.2">
      <c r="G294" s="652"/>
      <c r="H294" s="652"/>
      <c r="I294" s="652"/>
      <c r="J294" s="652"/>
      <c r="K294" s="652"/>
      <c r="L294" s="652"/>
      <c r="M294" s="652"/>
      <c r="N294" s="652"/>
      <c r="O294" s="652"/>
      <c r="P294" s="652"/>
      <c r="Q294" s="652"/>
      <c r="R294" s="652"/>
      <c r="S294" s="652"/>
      <c r="T294" s="652"/>
      <c r="U294" s="652"/>
      <c r="V294" s="652"/>
      <c r="W294" s="703"/>
      <c r="X294" s="652"/>
      <c r="Y294" s="652"/>
      <c r="Z294" s="652"/>
      <c r="AA294" s="652"/>
      <c r="AB294" s="652"/>
      <c r="AC294" s="652"/>
      <c r="AD294" s="652"/>
      <c r="AE294" s="652"/>
      <c r="AF294" s="652"/>
      <c r="AG294" s="652"/>
      <c r="AH294" s="652"/>
      <c r="AI294" s="652"/>
      <c r="AJ294" s="652"/>
      <c r="AK294" s="652"/>
      <c r="AL294" s="652"/>
      <c r="AM294" s="652"/>
    </row>
    <row r="295" spans="1:39" hidden="1" x14ac:dyDescent="0.2">
      <c r="G295" s="652"/>
      <c r="H295" s="652"/>
      <c r="I295" s="65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652"/>
      <c r="AF295" s="652"/>
      <c r="AG295" s="652"/>
      <c r="AH295" s="652"/>
      <c r="AI295" s="652"/>
      <c r="AJ295" s="652"/>
      <c r="AK295" s="652"/>
      <c r="AL295" s="652"/>
      <c r="AM295" s="652"/>
    </row>
    <row r="296" spans="1:39" hidden="1" x14ac:dyDescent="0.2">
      <c r="G296" s="652"/>
      <c r="H296" s="652"/>
      <c r="I296" s="652"/>
      <c r="J296" s="652"/>
      <c r="K296" s="652"/>
      <c r="L296" s="652"/>
      <c r="M296" s="652"/>
      <c r="N296" s="652"/>
      <c r="O296" s="652"/>
      <c r="P296" s="652"/>
      <c r="Q296" s="652"/>
      <c r="R296" s="652"/>
      <c r="S296" s="652"/>
      <c r="T296" s="652"/>
      <c r="U296" s="652"/>
      <c r="V296" s="652"/>
      <c r="W296" s="652"/>
      <c r="X296" s="652"/>
      <c r="Y296" s="652"/>
      <c r="Z296" s="652"/>
      <c r="AA296" s="652"/>
      <c r="AB296" s="652"/>
      <c r="AC296" s="652"/>
      <c r="AD296" s="652"/>
      <c r="AE296" s="652"/>
      <c r="AF296" s="652"/>
      <c r="AG296" s="652"/>
      <c r="AH296" s="652"/>
      <c r="AI296" s="652"/>
      <c r="AJ296" s="652"/>
      <c r="AK296" s="652"/>
      <c r="AL296" s="652"/>
      <c r="AM296" s="652"/>
    </row>
    <row r="297" spans="1:39" hidden="1" x14ac:dyDescent="0.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652"/>
      <c r="AF297" s="652"/>
      <c r="AG297" s="652"/>
      <c r="AH297" s="652"/>
      <c r="AI297" s="652"/>
      <c r="AJ297" s="652"/>
      <c r="AK297" s="652"/>
      <c r="AL297" s="652"/>
      <c r="AM297" s="652"/>
    </row>
    <row r="298" spans="1:39" x14ac:dyDescent="0.2">
      <c r="G298" s="652"/>
      <c r="H298" s="652"/>
      <c r="I298" s="652"/>
      <c r="J298" s="652"/>
      <c r="K298" s="652"/>
      <c r="L298" s="652"/>
      <c r="M298" s="652"/>
      <c r="N298" s="652"/>
      <c r="O298" s="652"/>
      <c r="P298" s="652"/>
      <c r="Q298" s="652"/>
      <c r="R298" s="652"/>
      <c r="S298" s="652"/>
      <c r="T298" s="652"/>
      <c r="U298" s="652"/>
      <c r="V298" s="652"/>
      <c r="W298" s="652"/>
      <c r="X298" s="652"/>
      <c r="Y298" s="652"/>
      <c r="Z298" s="652"/>
      <c r="AA298" s="652"/>
      <c r="AB298" s="652"/>
      <c r="AC298" s="652"/>
      <c r="AD298" s="652"/>
      <c r="AE298" s="652"/>
      <c r="AF298" s="652"/>
      <c r="AG298" s="652"/>
      <c r="AH298" s="652"/>
      <c r="AI298" s="652"/>
      <c r="AJ298" s="652"/>
      <c r="AK298" s="652"/>
      <c r="AL298" s="652"/>
      <c r="AM298" s="652"/>
    </row>
    <row r="299" spans="1:39" x14ac:dyDescent="0.2">
      <c r="A299" s="652"/>
      <c r="B299" s="652"/>
      <c r="C299" s="697" t="s">
        <v>182</v>
      </c>
      <c r="D299" s="698"/>
      <c r="E299" s="698"/>
      <c r="F299" s="698" t="s">
        <v>199</v>
      </c>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c r="AH299" s="652"/>
      <c r="AI299" s="652"/>
      <c r="AJ299" s="652"/>
      <c r="AK299" s="652"/>
      <c r="AL299" s="652"/>
      <c r="AM299" s="652"/>
    </row>
    <row r="300" spans="1:39" x14ac:dyDescent="0.2">
      <c r="A300" s="699">
        <v>1</v>
      </c>
      <c r="B300" s="700" t="str">
        <f t="shared" ref="B300:B311" si="10">IFERROR(INDEX(B$1:B$88,MATCH(A300,A$1:A$88,0)),"")</f>
        <v>Oksana Rõndenkova, Oleg Rõndenkov</v>
      </c>
      <c r="C300" s="701">
        <f t="shared" ref="C300:C311" si="11">IF(21-A300&gt;0,IF(OR(A300=A301,A299=A300),21-A300-0.5,21-A300),1)</f>
        <v>20</v>
      </c>
      <c r="D300" s="702"/>
      <c r="E300" s="702"/>
      <c r="F300" s="711">
        <v>4</v>
      </c>
    </row>
    <row r="301" spans="1:39" x14ac:dyDescent="0.2">
      <c r="A301" s="699">
        <v>2</v>
      </c>
      <c r="B301" s="700" t="str">
        <f t="shared" si="10"/>
        <v>Ivar Viljaste, Matti Vinni</v>
      </c>
      <c r="C301" s="701">
        <f t="shared" si="11"/>
        <v>19</v>
      </c>
      <c r="D301" s="653"/>
      <c r="E301" s="653"/>
      <c r="F301" s="711">
        <v>4</v>
      </c>
    </row>
    <row r="302" spans="1:39" x14ac:dyDescent="0.2">
      <c r="A302" s="699">
        <v>3</v>
      </c>
      <c r="B302" s="700" t="str">
        <f t="shared" si="10"/>
        <v>Kenneth Muusikus, Mait Metsla</v>
      </c>
      <c r="C302" s="701">
        <f t="shared" si="11"/>
        <v>18</v>
      </c>
      <c r="D302" s="653"/>
      <c r="E302" s="653"/>
      <c r="F302" s="711">
        <v>4</v>
      </c>
    </row>
    <row r="303" spans="1:39" x14ac:dyDescent="0.2">
      <c r="A303" s="699">
        <v>4</v>
      </c>
      <c r="B303" s="700" t="str">
        <f t="shared" si="10"/>
        <v>Kaspar Mänd, Tõnis Anton</v>
      </c>
      <c r="C303" s="701">
        <f t="shared" si="11"/>
        <v>17</v>
      </c>
      <c r="D303" s="653"/>
      <c r="E303" s="653"/>
      <c r="F303" s="711">
        <v>3</v>
      </c>
    </row>
    <row r="304" spans="1:39" x14ac:dyDescent="0.2">
      <c r="A304" s="699">
        <v>5</v>
      </c>
      <c r="B304" s="700" t="str">
        <f t="shared" si="10"/>
        <v>Eve Müüdla, Johannes Neiland</v>
      </c>
      <c r="C304" s="701">
        <f t="shared" si="11"/>
        <v>16</v>
      </c>
      <c r="D304" s="653"/>
      <c r="E304" s="653"/>
      <c r="F304" s="711">
        <v>3</v>
      </c>
    </row>
    <row r="305" spans="1:6" x14ac:dyDescent="0.2">
      <c r="A305" s="699">
        <v>6</v>
      </c>
      <c r="B305" s="700" t="str">
        <f t="shared" si="10"/>
        <v>Andrei Grintšak, Boriss Klubov</v>
      </c>
      <c r="C305" s="701">
        <f t="shared" si="11"/>
        <v>15</v>
      </c>
      <c r="D305" s="653"/>
      <c r="E305" s="653"/>
      <c r="F305" s="711">
        <v>2</v>
      </c>
    </row>
    <row r="306" spans="1:6" x14ac:dyDescent="0.2">
      <c r="A306" s="699">
        <v>7</v>
      </c>
      <c r="B306" s="700" t="str">
        <f t="shared" si="10"/>
        <v>Fredi Müür, Rainer Schmidt</v>
      </c>
      <c r="C306" s="701">
        <f t="shared" si="11"/>
        <v>14</v>
      </c>
      <c r="D306" s="653"/>
      <c r="E306" s="653"/>
      <c r="F306" s="711">
        <v>2</v>
      </c>
    </row>
    <row r="307" spans="1:6" x14ac:dyDescent="0.2">
      <c r="A307" s="699">
        <v>8</v>
      </c>
      <c r="B307" s="700" t="str">
        <f t="shared" si="10"/>
        <v>Henri Mitt, Urmas Randlaine</v>
      </c>
      <c r="C307" s="701">
        <f t="shared" si="11"/>
        <v>13</v>
      </c>
      <c r="D307" s="653"/>
      <c r="E307" s="653"/>
      <c r="F307" s="711">
        <v>2</v>
      </c>
    </row>
    <row r="308" spans="1:6" x14ac:dyDescent="0.2">
      <c r="A308" s="699">
        <v>9</v>
      </c>
      <c r="B308" s="700" t="str">
        <f t="shared" si="10"/>
        <v>Enn Tokman, Liidia Põllu, Tarmo Bombe</v>
      </c>
      <c r="C308" s="701">
        <f t="shared" si="11"/>
        <v>12</v>
      </c>
      <c r="D308" s="653"/>
      <c r="E308" s="653"/>
      <c r="F308" s="711">
        <v>2</v>
      </c>
    </row>
    <row r="309" spans="1:6" x14ac:dyDescent="0.2">
      <c r="A309" s="699">
        <v>10</v>
      </c>
      <c r="B309" s="700" t="str">
        <f t="shared" si="10"/>
        <v>Elmo Lageda, Tõnu Piik</v>
      </c>
      <c r="C309" s="701">
        <f t="shared" si="11"/>
        <v>11</v>
      </c>
      <c r="D309" s="653"/>
      <c r="E309" s="653"/>
      <c r="F309" s="652">
        <v>2</v>
      </c>
    </row>
    <row r="310" spans="1:6" x14ac:dyDescent="0.2">
      <c r="A310" s="699">
        <v>11</v>
      </c>
      <c r="B310" s="700" t="str">
        <f t="shared" si="10"/>
        <v>Illar Tõnurist, Vilmar Ostumaa</v>
      </c>
      <c r="C310" s="701">
        <f t="shared" si="11"/>
        <v>10</v>
      </c>
      <c r="D310" s="652"/>
      <c r="E310" s="652"/>
      <c r="F310" s="652">
        <v>1</v>
      </c>
    </row>
    <row r="311" spans="1:6" x14ac:dyDescent="0.2">
      <c r="A311" s="699">
        <v>12</v>
      </c>
      <c r="B311" s="700" t="str">
        <f t="shared" si="10"/>
        <v>Karla Purgats, Lemmit Toomra</v>
      </c>
      <c r="C311" s="701">
        <f t="shared" si="11"/>
        <v>9</v>
      </c>
      <c r="D311" s="652"/>
      <c r="E311" s="652"/>
      <c r="F311" s="652">
        <v>1</v>
      </c>
    </row>
  </sheetData>
  <conditionalFormatting sqref="C8:C19">
    <cfRule type="expression" dxfId="313" priority="18">
      <formula>IF($C8&gt;$E8,TRUE)</formula>
    </cfRule>
  </conditionalFormatting>
  <conditionalFormatting sqref="E8:E19">
    <cfRule type="expression" dxfId="312" priority="19">
      <formula>IF($C8&lt;$E8,TRUE)</formula>
    </cfRule>
  </conditionalFormatting>
  <conditionalFormatting sqref="K8:K19">
    <cfRule type="expression" dxfId="311" priority="26">
      <formula>IF($K8&gt;$M8,TRUE)</formula>
    </cfRule>
  </conditionalFormatting>
  <conditionalFormatting sqref="M8:M19">
    <cfRule type="expression" dxfId="310" priority="27">
      <formula>IF($K8&lt;$M8,TRUE)</formula>
    </cfRule>
  </conditionalFormatting>
  <conditionalFormatting sqref="O8:O19">
    <cfRule type="expression" dxfId="309" priority="30">
      <formula>IF($O8&gt;$Q8,TRUE)</formula>
    </cfRule>
  </conditionalFormatting>
  <conditionalFormatting sqref="Q8:Q19">
    <cfRule type="expression" dxfId="308" priority="31">
      <formula>IF($O8&lt;$Q8,TRUE)</formula>
    </cfRule>
  </conditionalFormatting>
  <conditionalFormatting sqref="S8:S19">
    <cfRule type="expression" dxfId="307" priority="34">
      <formula>IF($S8&gt;$U8,TRUE)</formula>
    </cfRule>
  </conditionalFormatting>
  <conditionalFormatting sqref="U8:U19">
    <cfRule type="expression" dxfId="306" priority="35">
      <formula>IF($S8&lt;$U8,TRUE)</formula>
    </cfRule>
  </conditionalFormatting>
  <conditionalFormatting sqref="G8:G19">
    <cfRule type="expression" dxfId="305" priority="22">
      <formula>IF($G8&gt;$I8,TRUE)</formula>
    </cfRule>
  </conditionalFormatting>
  <conditionalFormatting sqref="I8:I19">
    <cfRule type="expression" dxfId="304" priority="23">
      <formula>IF($G8&lt;$I8,TRUE)</formula>
    </cfRule>
  </conditionalFormatting>
  <conditionalFormatting sqref="F8:F19">
    <cfRule type="containsText" dxfId="303" priority="9" operator="containsText" text="vaba voor">
      <formula>NOT(ISERROR(SEARCH("vaba voor",F8)))</formula>
    </cfRule>
  </conditionalFormatting>
  <conditionalFormatting sqref="N8:N19">
    <cfRule type="containsText" dxfId="302" priority="7" operator="containsText" text="vaba voor">
      <formula>NOT(ISERROR(SEARCH("vaba voor",N8)))</formula>
    </cfRule>
  </conditionalFormatting>
  <conditionalFormatting sqref="R8:R19">
    <cfRule type="containsText" dxfId="301" priority="10" operator="containsText" text="vaba voor">
      <formula>NOT(ISERROR(SEARCH("vaba voor",R8)))</formula>
    </cfRule>
  </conditionalFormatting>
  <conditionalFormatting sqref="V8:V19">
    <cfRule type="containsText" dxfId="300" priority="6" operator="containsText" text="vaba voor">
      <formula>NOT(ISERROR(SEARCH("vaba voor",V8)))</formula>
    </cfRule>
  </conditionalFormatting>
  <conditionalFormatting sqref="J8:J19">
    <cfRule type="containsText" dxfId="299" priority="8" operator="containsText" text="vaba voor">
      <formula>NOT(ISERROR(SEARCH("vaba voor",J8)))</formula>
    </cfRule>
  </conditionalFormatting>
  <conditionalFormatting sqref="C8:F19">
    <cfRule type="expression" dxfId="298" priority="14">
      <formula>IF(AND(ISNUMBER($C8),$C8=$E8),TRUE)</formula>
    </cfRule>
    <cfRule type="expression" dxfId="297" priority="16">
      <formula>IF($C8&gt;$E8,TRUE)</formula>
    </cfRule>
    <cfRule type="expression" dxfId="296" priority="17">
      <formula>IF($C8&lt;$E8,TRUE)</formula>
    </cfRule>
  </conditionalFormatting>
  <conditionalFormatting sqref="G8:J19">
    <cfRule type="expression" dxfId="295" priority="15">
      <formula>IF(AND(ISNUMBER($G8),$G8=$I8),TRUE)</formula>
    </cfRule>
    <cfRule type="expression" dxfId="294" priority="20">
      <formula>IF($G8&gt;$I8,TRUE)</formula>
    </cfRule>
    <cfRule type="expression" dxfId="293" priority="21">
      <formula>IF($G8&lt;$I8,TRUE)</formula>
    </cfRule>
  </conditionalFormatting>
  <conditionalFormatting sqref="K8:N19">
    <cfRule type="expression" dxfId="292" priority="13">
      <formula>IF(AND(ISNUMBER($K8),$K8=$M8),TRUE)</formula>
    </cfRule>
    <cfRule type="expression" dxfId="291" priority="24">
      <formula>IF($K8&gt;$M8,TRUE)</formula>
    </cfRule>
    <cfRule type="expression" dxfId="290" priority="25">
      <formula>IF($K8&lt;$M8,TRUE)</formula>
    </cfRule>
  </conditionalFormatting>
  <conditionalFormatting sqref="O8:R19">
    <cfRule type="expression" dxfId="289" priority="12">
      <formula>IF(AND(ISNUMBER($O8),$O8=$Q8),TRUE)</formula>
    </cfRule>
    <cfRule type="expression" dxfId="288" priority="28">
      <formula>IF($O8&gt;$Q8,TRUE)</formula>
    </cfRule>
    <cfRule type="expression" dxfId="287" priority="29">
      <formula>IF($O8&lt;$Q8,TRUE)</formula>
    </cfRule>
  </conditionalFormatting>
  <conditionalFormatting sqref="S8:V19">
    <cfRule type="expression" dxfId="286" priority="11">
      <formula>IF(AND(ISNUMBER($S8),$S8=$U8),TRUE)</formula>
    </cfRule>
    <cfRule type="expression" dxfId="285" priority="32">
      <formula>IF($S8&gt;$U8,TRUE)</formula>
    </cfRule>
    <cfRule type="expression" dxfId="284" priority="33">
      <formula>IF($S8&lt;$U8,TRUE)</formula>
    </cfRule>
  </conditionalFormatting>
  <conditionalFormatting sqref="C8:C19 G8:G19 K8:K19 O8:O19 S8:S19">
    <cfRule type="expression" dxfId="283" priority="4">
      <formula>AND(C8=0,E8=13)</formula>
    </cfRule>
  </conditionalFormatting>
  <conditionalFormatting sqref="E8:E19 I8:I19 M8:M19 Q8:Q19 U8:U19">
    <cfRule type="expression" dxfId="282" priority="5">
      <formula>AND(E8=0,C8=13)</formula>
    </cfRule>
  </conditionalFormatting>
  <conditionalFormatting sqref="AF8:AF19 AJ8:AJ19 AL8:AL19">
    <cfRule type="expression" dxfId="281" priority="1">
      <formula>AND(AE8="",COUNTIF(AF8,"*,*")=0)</formula>
    </cfRule>
  </conditionalFormatting>
  <conditionalFormatting sqref="AH8:AH19">
    <cfRule type="expression" dxfId="280" priority="2">
      <formula>AND(AG8="",FIND(",",AH8))</formula>
    </cfRule>
    <cfRule type="expression" dxfId="279" priority="3">
      <formula>AND(AG8="",COUNTIF(AH8,"*,*")=0)</formula>
    </cfRule>
  </conditionalFormatting>
  <conditionalFormatting sqref="A300:A311">
    <cfRule type="duplicateValues" dxfId="278" priority="100"/>
  </conditionalFormatting>
  <conditionalFormatting sqref="A8:A19">
    <cfRule type="duplicateValues" dxfId="277" priority="127"/>
  </conditionalFormatting>
  <conditionalFormatting sqref="B300:B311">
    <cfRule type="expression" dxfId="276" priority="149">
      <formula>A300=3</formula>
    </cfRule>
    <cfRule type="expression" dxfId="275" priority="150">
      <formula>A300=2</formula>
    </cfRule>
    <cfRule type="expression" dxfId="274" priority="151">
      <formula>A300=1</formula>
    </cfRule>
    <cfRule type="containsBlanks" dxfId="273" priority="152">
      <formula>LEN(TRIM(B300))=0</formula>
    </cfRule>
    <cfRule type="duplicateValues" dxfId="272" priority="153"/>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M311"/>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38.140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8.28515625" hidden="1" customWidth="1"/>
    <col min="33" max="33" width="9.140625" hidden="1" customWidth="1"/>
    <col min="34" max="34" width="28.7109375" hidden="1" customWidth="1"/>
    <col min="35" max="35" width="9.140625" hidden="1" customWidth="1"/>
    <col min="36" max="36" width="17.28515625" hidden="1" customWidth="1"/>
    <col min="37" max="37" width="9.140625" hidden="1" customWidth="1"/>
    <col min="38" max="38" width="16" hidden="1" customWidth="1"/>
  </cols>
  <sheetData>
    <row r="1" spans="1:39" x14ac:dyDescent="0.2">
      <c r="A1" s="742" t="str">
        <f>UPPER((Kalend!E36)&amp;" - "&amp;(Kalend!C36)&amp;" - "&amp;(Kalend!D36))</f>
        <v>V8 - VOKA 6. KV 8. ETAPP - DUO</v>
      </c>
      <c r="B1" s="652"/>
      <c r="C1" s="653"/>
      <c r="D1" s="652"/>
      <c r="E1" s="652"/>
      <c r="F1" s="410" t="str">
        <f>HYPERLINK("#Kalend!I1","Kalender")</f>
        <v>Kalender</v>
      </c>
      <c r="G1" s="410"/>
      <c r="H1" s="410"/>
      <c r="I1" s="410"/>
      <c r="J1" s="654" t="str">
        <f>HYPERLINK("#V!AB1","Reiting")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tr">
        <f>"Toimumisaeg: "&amp;(Kalend!A36)&amp;" kell "&amp;(Kalend!B36)</f>
        <v>Toimumisaeg: K, 21.08.2019 kell 18:00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2"/>
      <c r="AE2" s="652"/>
      <c r="AF2" s="652"/>
      <c r="AG2" s="652"/>
      <c r="AH2" s="652"/>
      <c r="AI2" s="652"/>
      <c r="AJ2" s="652"/>
      <c r="AK2" s="652"/>
      <c r="AL2" s="652"/>
      <c r="AM2" s="652"/>
    </row>
    <row r="3" spans="1:39" x14ac:dyDescent="0.2">
      <c r="A3" s="659" t="str">
        <f>"Toimumiskoht: "&amp;(Kalend!F36)</f>
        <v>Toimumiskoht: Voka staadion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tr">
        <f>"Korraldaja: "&amp;(Kalend!G36)</f>
        <v>Korraldaja: Johannes Neiland</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x14ac:dyDescent="0.2">
      <c r="A8" s="685">
        <v>1</v>
      </c>
      <c r="B8" s="686" t="s">
        <v>383</v>
      </c>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708">
        <f t="shared" ref="AD8" si="0">SUM(AE8:AL8)</f>
        <v>284</v>
      </c>
      <c r="AE8" s="709">
        <f>IFERROR(INDEX(V!R$7:R$62,MATCH(AF8,V!L$7:L$62,0)),"")</f>
        <v>142</v>
      </c>
      <c r="AF8" s="710" t="str">
        <f t="shared" ref="AF8:AF19" si="1">IFERROR(LEFT(B8,(FIND(",",B8,1)-1)),"")</f>
        <v>Elmo Lageda</v>
      </c>
      <c r="AG8" s="709">
        <f>IFERROR(INDEX(V!R$7:R$62,MATCH(AH8,V!L$7:L$62,0)),"")</f>
        <v>142</v>
      </c>
      <c r="AH8" s="710" t="str">
        <f t="shared" ref="AH8:AH19" si="2">IFERROR(MID(B8,FIND(", ",B8)+2,256),"")</f>
        <v>Tõnu Piik</v>
      </c>
      <c r="AI8" s="709" t="str">
        <f>IFERROR(INDEX(V!R$7:R$62,MATCH(AJ8,V!L$7:L$62,0)),"")</f>
        <v/>
      </c>
      <c r="AJ8" s="710" t="str">
        <f t="shared" ref="AJ8:AJ19" si="3">IFERROR(MID(B8,FIND("^",SUBSTITUTE(B8,", ","^",1))+2,FIND("^",SUBSTITUTE(B8,", ","^",2))-FIND("^",SUBSTITUTE(B8,", ","^",1))-2),"")</f>
        <v/>
      </c>
      <c r="AK8" s="709" t="str">
        <f>IFERROR(INDEX(V!R$7:R$62,MATCH(AL8,V!L$7:L$62,0)),"")</f>
        <v/>
      </c>
      <c r="AL8" s="710" t="str">
        <f t="shared" ref="AL8:AL19" si="4">IFERROR(MID(B8,FIND(", ",B8,FIND(", ",B8,FIND(", ",B8))+1)+2,700),"")</f>
        <v/>
      </c>
      <c r="AM8" s="652"/>
    </row>
    <row r="9" spans="1:39" x14ac:dyDescent="0.2">
      <c r="A9" s="685">
        <v>2</v>
      </c>
      <c r="B9" s="686" t="s">
        <v>425</v>
      </c>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19" si="5">IF(C9&gt;E9,J$3,IF(C9&lt;E9,J$5,IF(ISNUMBER(C9),J$4,0)))+IF(G9&gt;I9,J$3,IF(G9&lt;I9,J$5,IF(ISNUMBER(G9),J$4,0)))+IF(K9&gt;M9,J$3,IF(K9&lt;M9,J$5,IF(ISNUMBER(K9),J$4,0)))+IF(O9&gt;Q9,J$3,IF(O9&lt;Q9,J$5,IF(ISNUMBER(O9),J$4,0)))+IF(S9&gt;U9,J$3,IF(S9&lt;U9,J$5,IF(ISNUMBER(S9),J$4,0)))</f>
        <v>0</v>
      </c>
      <c r="X9" s="692"/>
      <c r="Y9" s="687">
        <f t="shared" ref="Y9:Y19" si="6">C9+G9+K9+O9+S9</f>
        <v>0</v>
      </c>
      <c r="Z9" s="688" t="s">
        <v>377</v>
      </c>
      <c r="AA9" s="693">
        <f t="shared" ref="AA9:AA19" si="7">E9+I9+M9+Q9+U9</f>
        <v>0</v>
      </c>
      <c r="AB9" s="694">
        <f t="shared" ref="AB9:AB19" si="8">Y9-AA9</f>
        <v>0</v>
      </c>
      <c r="AC9" s="695"/>
      <c r="AD9" s="708">
        <f t="shared" ref="AD9:AD19" si="9">SUM(AE9:AL9)</f>
        <v>192</v>
      </c>
      <c r="AE9" s="709">
        <f>IFERROR(INDEX(V!R$7:R$62,MATCH(AF9,V!L$7:L$62,0)),"")</f>
        <v>48</v>
      </c>
      <c r="AF9" s="710" t="str">
        <f t="shared" si="1"/>
        <v>Aigi Orro</v>
      </c>
      <c r="AG9" s="709" t="str">
        <f>IFERROR(INDEX(V!R$7:R$62,MATCH(AH9,V!L$7:L$62,0)),"")</f>
        <v/>
      </c>
      <c r="AH9" s="710" t="str">
        <f t="shared" si="2"/>
        <v>Johannes Neiland, Urmas Jõeäär</v>
      </c>
      <c r="AI9" s="709">
        <f>IFERROR(INDEX(V!R$7:R$62,MATCH(AJ9,V!L$7:L$62,0)),"")</f>
        <v>90</v>
      </c>
      <c r="AJ9" s="710" t="str">
        <f t="shared" si="3"/>
        <v>Johannes Neiland</v>
      </c>
      <c r="AK9" s="709">
        <f>IFERROR(INDEX(V!R$7:R$62,MATCH(AL9,V!L$7:L$62,0)),"")</f>
        <v>54</v>
      </c>
      <c r="AL9" s="710" t="str">
        <f t="shared" si="4"/>
        <v>Urmas Jõeäär</v>
      </c>
      <c r="AM9" s="652"/>
    </row>
    <row r="10" spans="1:39" x14ac:dyDescent="0.2">
      <c r="A10" s="685">
        <v>3</v>
      </c>
      <c r="B10" s="686" t="s">
        <v>393</v>
      </c>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5"/>
        <v>0</v>
      </c>
      <c r="X10" s="692"/>
      <c r="Y10" s="687">
        <f t="shared" si="6"/>
        <v>0</v>
      </c>
      <c r="Z10" s="688" t="s">
        <v>377</v>
      </c>
      <c r="AA10" s="693">
        <f t="shared" si="7"/>
        <v>0</v>
      </c>
      <c r="AB10" s="694">
        <f t="shared" si="8"/>
        <v>0</v>
      </c>
      <c r="AC10" s="695"/>
      <c r="AD10" s="708">
        <f t="shared" si="9"/>
        <v>216</v>
      </c>
      <c r="AE10" s="709">
        <f>IFERROR(INDEX(V!R$7:R$62,MATCH(AF10,V!L$7:L$62,0)),"")</f>
        <v>113</v>
      </c>
      <c r="AF10" s="710" t="str">
        <f t="shared" si="1"/>
        <v>Andrei Grintšak</v>
      </c>
      <c r="AG10" s="709">
        <f>IFERROR(INDEX(V!R$7:R$62,MATCH(AH10,V!L$7:L$62,0)),"")</f>
        <v>103</v>
      </c>
      <c r="AH10" s="710" t="str">
        <f t="shared" si="2"/>
        <v>Boriss Klubov</v>
      </c>
      <c r="AI10" s="709" t="str">
        <f>IFERROR(INDEX(V!R$7:R$62,MATCH(AJ10,V!L$7:L$62,0)),"")</f>
        <v/>
      </c>
      <c r="AJ10" s="710" t="str">
        <f t="shared" si="3"/>
        <v/>
      </c>
      <c r="AK10" s="709" t="str">
        <f>IFERROR(INDEX(V!R$7:R$62,MATCH(AL10,V!L$7:L$62,0)),"")</f>
        <v/>
      </c>
      <c r="AL10" s="710" t="str">
        <f t="shared" si="4"/>
        <v/>
      </c>
      <c r="AM10" s="652"/>
    </row>
    <row r="11" spans="1:39" x14ac:dyDescent="0.2">
      <c r="A11" s="685">
        <v>4</v>
      </c>
      <c r="B11" s="686" t="s">
        <v>405</v>
      </c>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5"/>
        <v>0</v>
      </c>
      <c r="X11" s="692"/>
      <c r="Y11" s="687">
        <f t="shared" si="6"/>
        <v>0</v>
      </c>
      <c r="Z11" s="688" t="s">
        <v>377</v>
      </c>
      <c r="AA11" s="693">
        <f t="shared" si="7"/>
        <v>0</v>
      </c>
      <c r="AB11" s="694">
        <f t="shared" si="8"/>
        <v>0</v>
      </c>
      <c r="AC11" s="695"/>
      <c r="AD11" s="708">
        <f t="shared" si="9"/>
        <v>225</v>
      </c>
      <c r="AE11" s="709">
        <f>IFERROR(INDEX(V!R$7:R$62,MATCH(AF11,V!L$7:L$62,0)),"")</f>
        <v>148</v>
      </c>
      <c r="AF11" s="710" t="str">
        <f t="shared" si="1"/>
        <v>Matti Vinni</v>
      </c>
      <c r="AG11" s="709">
        <f>IFERROR(INDEX(V!R$7:R$62,MATCH(AH11,V!L$7:L$62,0)),"")</f>
        <v>77</v>
      </c>
      <c r="AH11" s="710" t="str">
        <f t="shared" si="2"/>
        <v>Vello Vasser</v>
      </c>
      <c r="AI11" s="709" t="str">
        <f>IFERROR(INDEX(V!R$7:R$62,MATCH(AJ11,V!L$7:L$62,0)),"")</f>
        <v/>
      </c>
      <c r="AJ11" s="710" t="str">
        <f t="shared" si="3"/>
        <v/>
      </c>
      <c r="AK11" s="709" t="str">
        <f>IFERROR(INDEX(V!R$7:R$62,MATCH(AL11,V!L$7:L$62,0)),"")</f>
        <v/>
      </c>
      <c r="AL11" s="710" t="str">
        <f t="shared" si="4"/>
        <v/>
      </c>
      <c r="AM11" s="652"/>
    </row>
    <row r="12" spans="1:39" x14ac:dyDescent="0.2">
      <c r="A12" s="685">
        <v>5</v>
      </c>
      <c r="B12" s="686" t="s">
        <v>391</v>
      </c>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5"/>
        <v>0</v>
      </c>
      <c r="X12" s="692"/>
      <c r="Y12" s="687">
        <f t="shared" si="6"/>
        <v>0</v>
      </c>
      <c r="Z12" s="688" t="s">
        <v>377</v>
      </c>
      <c r="AA12" s="693">
        <f t="shared" si="7"/>
        <v>0</v>
      </c>
      <c r="AB12" s="694">
        <f t="shared" si="8"/>
        <v>0</v>
      </c>
      <c r="AC12" s="695"/>
      <c r="AD12" s="708">
        <f t="shared" si="9"/>
        <v>334</v>
      </c>
      <c r="AE12" s="709">
        <f>IFERROR(INDEX(V!R$7:R$62,MATCH(AF12,V!L$7:L$62,0)),"")</f>
        <v>165</v>
      </c>
      <c r="AF12" s="710" t="str">
        <f t="shared" si="1"/>
        <v>Oksana Rõndenkova</v>
      </c>
      <c r="AG12" s="709">
        <f>IFERROR(INDEX(V!R$7:R$62,MATCH(AH12,V!L$7:L$62,0)),"")</f>
        <v>169</v>
      </c>
      <c r="AH12" s="710" t="str">
        <f t="shared" si="2"/>
        <v>Oleg Rõndenkov</v>
      </c>
      <c r="AI12" s="709" t="str">
        <f>IFERROR(INDEX(V!R$7:R$62,MATCH(AJ12,V!L$7:L$62,0)),"")</f>
        <v/>
      </c>
      <c r="AJ12" s="710" t="str">
        <f t="shared" si="3"/>
        <v/>
      </c>
      <c r="AK12" s="709" t="str">
        <f>IFERROR(INDEX(V!R$7:R$62,MATCH(AL12,V!L$7:L$62,0)),"")</f>
        <v/>
      </c>
      <c r="AL12" s="710" t="str">
        <f t="shared" si="4"/>
        <v/>
      </c>
      <c r="AM12" s="652"/>
    </row>
    <row r="13" spans="1:39" x14ac:dyDescent="0.2">
      <c r="A13" s="685">
        <v>6</v>
      </c>
      <c r="B13" s="686" t="s">
        <v>404</v>
      </c>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5"/>
        <v>0</v>
      </c>
      <c r="X13" s="692"/>
      <c r="Y13" s="687">
        <f t="shared" si="6"/>
        <v>0</v>
      </c>
      <c r="Z13" s="688" t="s">
        <v>377</v>
      </c>
      <c r="AA13" s="693">
        <f t="shared" si="7"/>
        <v>0</v>
      </c>
      <c r="AB13" s="694">
        <f t="shared" si="8"/>
        <v>0</v>
      </c>
      <c r="AC13" s="695"/>
      <c r="AD13" s="708">
        <f t="shared" si="9"/>
        <v>235</v>
      </c>
      <c r="AE13" s="709">
        <f>IFERROR(INDEX(V!R$7:R$62,MATCH(AF13,V!L$7:L$62,0)),"")</f>
        <v>125</v>
      </c>
      <c r="AF13" s="710" t="str">
        <f t="shared" si="1"/>
        <v>Karla Purgats</v>
      </c>
      <c r="AG13" s="709">
        <f>IFERROR(INDEX(V!R$7:R$62,MATCH(AH13,V!L$7:L$62,0)),"")</f>
        <v>110</v>
      </c>
      <c r="AH13" s="710" t="str">
        <f t="shared" si="2"/>
        <v>Lemmit Toomra</v>
      </c>
      <c r="AI13" s="709" t="str">
        <f>IFERROR(INDEX(V!R$7:R$62,MATCH(AJ13,V!L$7:L$62,0)),"")</f>
        <v/>
      </c>
      <c r="AJ13" s="710" t="str">
        <f t="shared" si="3"/>
        <v/>
      </c>
      <c r="AK13" s="709" t="str">
        <f>IFERROR(INDEX(V!R$7:R$62,MATCH(AL13,V!L$7:L$62,0)),"")</f>
        <v/>
      </c>
      <c r="AL13" s="710" t="str">
        <f t="shared" si="4"/>
        <v/>
      </c>
      <c r="AM13" s="652"/>
    </row>
    <row r="14" spans="1:39" ht="25.5" x14ac:dyDescent="0.2">
      <c r="A14" s="685">
        <v>7</v>
      </c>
      <c r="B14" s="696" t="s">
        <v>426</v>
      </c>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5"/>
        <v>0</v>
      </c>
      <c r="X14" s="692"/>
      <c r="Y14" s="687">
        <f t="shared" si="6"/>
        <v>0</v>
      </c>
      <c r="Z14" s="688" t="s">
        <v>377</v>
      </c>
      <c r="AA14" s="693">
        <f t="shared" si="7"/>
        <v>0</v>
      </c>
      <c r="AB14" s="694">
        <f t="shared" si="8"/>
        <v>0</v>
      </c>
      <c r="AC14" s="695"/>
      <c r="AD14" s="708">
        <f t="shared" si="9"/>
        <v>149</v>
      </c>
      <c r="AE14" s="709">
        <f>IFERROR(INDEX(V!R$7:R$62,MATCH(AF14,V!L$7:L$62,0)),"")</f>
        <v>135</v>
      </c>
      <c r="AF14" s="710" t="str">
        <f t="shared" si="1"/>
        <v>Kenneth Muusikus</v>
      </c>
      <c r="AG14" s="709">
        <f>IFERROR(INDEX(V!R$7:R$62,MATCH(AH14,V!L$7:L$62,0)),"")</f>
        <v>14</v>
      </c>
      <c r="AH14" s="710" t="str">
        <f t="shared" si="2"/>
        <v>Sandra Laura Nõmmeloo</v>
      </c>
      <c r="AI14" s="709" t="str">
        <f>IFERROR(INDEX(V!R$7:R$62,MATCH(AJ14,V!L$7:L$62,0)),"")</f>
        <v/>
      </c>
      <c r="AJ14" s="710" t="str">
        <f t="shared" si="3"/>
        <v/>
      </c>
      <c r="AK14" s="709" t="str">
        <f>IFERROR(INDEX(V!R$7:R$62,MATCH(AL14,V!L$7:L$62,0)),"")</f>
        <v/>
      </c>
      <c r="AL14" s="710" t="str">
        <f t="shared" si="4"/>
        <v/>
      </c>
      <c r="AM14" s="652"/>
    </row>
    <row r="15" spans="1:39" x14ac:dyDescent="0.2">
      <c r="A15" s="685">
        <v>8</v>
      </c>
      <c r="B15" s="696" t="s">
        <v>395</v>
      </c>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5"/>
        <v>0</v>
      </c>
      <c r="X15" s="692"/>
      <c r="Y15" s="687">
        <f t="shared" si="6"/>
        <v>0</v>
      </c>
      <c r="Z15" s="688" t="s">
        <v>377</v>
      </c>
      <c r="AA15" s="693">
        <f t="shared" si="7"/>
        <v>0</v>
      </c>
      <c r="AB15" s="694">
        <f t="shared" si="8"/>
        <v>0</v>
      </c>
      <c r="AC15" s="695"/>
      <c r="AD15" s="708">
        <f t="shared" si="9"/>
        <v>137</v>
      </c>
      <c r="AE15" s="709">
        <f>IFERROR(INDEX(V!R$7:R$62,MATCH(AF15,V!L$7:L$62,0)),"")</f>
        <v>82</v>
      </c>
      <c r="AF15" s="710" t="str">
        <f t="shared" si="1"/>
        <v>Andres Veski</v>
      </c>
      <c r="AG15" s="709">
        <f>IFERROR(INDEX(V!R$7:R$62,MATCH(AH15,V!L$7:L$62,0)),"")</f>
        <v>55</v>
      </c>
      <c r="AH15" s="710" t="str">
        <f t="shared" si="2"/>
        <v>Svetlana Veski</v>
      </c>
      <c r="AI15" s="709" t="str">
        <f>IFERROR(INDEX(V!R$7:R$62,MATCH(AJ15,V!L$7:L$62,0)),"")</f>
        <v/>
      </c>
      <c r="AJ15" s="710" t="str">
        <f t="shared" si="3"/>
        <v/>
      </c>
      <c r="AK15" s="709" t="str">
        <f>IFERROR(INDEX(V!R$7:R$62,MATCH(AL15,V!L$7:L$62,0)),"")</f>
        <v/>
      </c>
      <c r="AL15" s="710" t="str">
        <f t="shared" si="4"/>
        <v/>
      </c>
      <c r="AM15" s="652"/>
    </row>
    <row r="16" spans="1:39" x14ac:dyDescent="0.2">
      <c r="A16" s="685">
        <v>9</v>
      </c>
      <c r="B16" s="686" t="s">
        <v>399</v>
      </c>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5"/>
        <v>0</v>
      </c>
      <c r="X16" s="692"/>
      <c r="Y16" s="687">
        <f t="shared" si="6"/>
        <v>0</v>
      </c>
      <c r="Z16" s="688" t="s">
        <v>377</v>
      </c>
      <c r="AA16" s="693">
        <f t="shared" si="7"/>
        <v>0</v>
      </c>
      <c r="AB16" s="694">
        <f t="shared" si="8"/>
        <v>0</v>
      </c>
      <c r="AC16" s="695"/>
      <c r="AD16" s="708">
        <f t="shared" si="9"/>
        <v>181</v>
      </c>
      <c r="AE16" s="709">
        <f>IFERROR(INDEX(V!R$7:R$62,MATCH(AF16,V!L$7:L$62,0)),"")</f>
        <v>106</v>
      </c>
      <c r="AF16" s="710" t="str">
        <f t="shared" si="1"/>
        <v>Henri Mitt</v>
      </c>
      <c r="AG16" s="709">
        <f>IFERROR(INDEX(V!R$7:R$62,MATCH(AH16,V!L$7:L$62,0)),"")</f>
        <v>75</v>
      </c>
      <c r="AH16" s="710" t="str">
        <f t="shared" si="2"/>
        <v>Urmas Randlaine</v>
      </c>
      <c r="AI16" s="709" t="str">
        <f>IFERROR(INDEX(V!R$7:R$62,MATCH(AJ16,V!L$7:L$62,0)),"")</f>
        <v/>
      </c>
      <c r="AJ16" s="710" t="str">
        <f t="shared" si="3"/>
        <v/>
      </c>
      <c r="AK16" s="709" t="str">
        <f>IFERROR(INDEX(V!R$7:R$62,MATCH(AL16,V!L$7:L$62,0)),"")</f>
        <v/>
      </c>
      <c r="AL16" s="710" t="str">
        <f t="shared" si="4"/>
        <v/>
      </c>
      <c r="AM16" s="652"/>
    </row>
    <row r="17" spans="1:39" x14ac:dyDescent="0.2">
      <c r="A17" s="685">
        <v>10</v>
      </c>
      <c r="B17" s="686" t="s">
        <v>421</v>
      </c>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5"/>
        <v>0</v>
      </c>
      <c r="X17" s="692"/>
      <c r="Y17" s="687">
        <f t="shared" si="6"/>
        <v>0</v>
      </c>
      <c r="Z17" s="688" t="s">
        <v>377</v>
      </c>
      <c r="AA17" s="693">
        <f t="shared" si="7"/>
        <v>0</v>
      </c>
      <c r="AB17" s="694">
        <f t="shared" si="8"/>
        <v>0</v>
      </c>
      <c r="AC17" s="695"/>
      <c r="AD17" s="708">
        <f t="shared" si="9"/>
        <v>141</v>
      </c>
      <c r="AE17" s="709">
        <f>IFERROR(INDEX(V!R$7:R$62,MATCH(AF17,V!L$7:L$62,0)),"")</f>
        <v>113</v>
      </c>
      <c r="AF17" s="710" t="str">
        <f t="shared" si="1"/>
        <v>Kaspar Mänd</v>
      </c>
      <c r="AG17" s="709">
        <f>IFERROR(INDEX(V!R$7:R$62,MATCH(AH17,V!L$7:L$62,0)),"")</f>
        <v>28</v>
      </c>
      <c r="AH17" s="710" t="str">
        <f t="shared" si="2"/>
        <v>Tõnis Anton</v>
      </c>
      <c r="AI17" s="709" t="str">
        <f>IFERROR(INDEX(V!R$7:R$62,MATCH(AJ17,V!L$7:L$62,0)),"")</f>
        <v/>
      </c>
      <c r="AJ17" s="710" t="str">
        <f t="shared" si="3"/>
        <v/>
      </c>
      <c r="AK17" s="709" t="str">
        <f>IFERROR(INDEX(V!R$7:R$62,MATCH(AL17,V!L$7:L$62,0)),"")</f>
        <v/>
      </c>
      <c r="AL17" s="710" t="str">
        <f t="shared" si="4"/>
        <v/>
      </c>
      <c r="AM17" s="652"/>
    </row>
    <row r="18" spans="1:39" x14ac:dyDescent="0.2">
      <c r="A18" s="685">
        <v>11</v>
      </c>
      <c r="B18" s="696" t="s">
        <v>427</v>
      </c>
      <c r="C18" s="687"/>
      <c r="D18" s="688" t="s">
        <v>377</v>
      </c>
      <c r="E18" s="689"/>
      <c r="F18" s="690"/>
      <c r="G18" s="687"/>
      <c r="H18" s="688" t="s">
        <v>377</v>
      </c>
      <c r="I18" s="689"/>
      <c r="J18" s="690"/>
      <c r="K18" s="687"/>
      <c r="L18" s="688" t="s">
        <v>377</v>
      </c>
      <c r="M18" s="689"/>
      <c r="N18" s="690"/>
      <c r="O18" s="687"/>
      <c r="P18" s="688" t="s">
        <v>377</v>
      </c>
      <c r="Q18" s="689"/>
      <c r="R18" s="690"/>
      <c r="S18" s="687"/>
      <c r="T18" s="688" t="s">
        <v>377</v>
      </c>
      <c r="U18" s="689"/>
      <c r="V18" s="690"/>
      <c r="W18" s="691">
        <f t="shared" si="5"/>
        <v>0</v>
      </c>
      <c r="X18" s="692"/>
      <c r="Y18" s="687">
        <f t="shared" si="6"/>
        <v>0</v>
      </c>
      <c r="Z18" s="688" t="s">
        <v>377</v>
      </c>
      <c r="AA18" s="693">
        <f t="shared" si="7"/>
        <v>0</v>
      </c>
      <c r="AB18" s="694">
        <f t="shared" si="8"/>
        <v>0</v>
      </c>
      <c r="AC18" s="695"/>
      <c r="AD18" s="708">
        <f t="shared" si="9"/>
        <v>172</v>
      </c>
      <c r="AE18" s="709">
        <f>IFERROR(INDEX(V!R$7:R$62,MATCH(AF18,V!L$7:L$62,0)),"")</f>
        <v>85</v>
      </c>
      <c r="AF18" s="710" t="str">
        <f t="shared" si="1"/>
        <v>Jaan Saar</v>
      </c>
      <c r="AG18" s="709" t="str">
        <f>IFERROR(INDEX(V!R$7:R$62,MATCH(AH18,V!L$7:L$62,0)),"")</f>
        <v/>
      </c>
      <c r="AH18" s="710" t="str">
        <f t="shared" si="2"/>
        <v>Liidia Põllu, Vladimir Mihhailov</v>
      </c>
      <c r="AI18" s="709">
        <f>IFERROR(INDEX(V!R$7:R$62,MATCH(AJ18,V!L$7:L$62,0)),"")</f>
        <v>77</v>
      </c>
      <c r="AJ18" s="710" t="str">
        <f t="shared" si="3"/>
        <v>Liidia Põllu</v>
      </c>
      <c r="AK18" s="709">
        <f>IFERROR(INDEX(V!R$7:R$62,MATCH(AL18,V!L$7:L$62,0)),"")</f>
        <v>10</v>
      </c>
      <c r="AL18" s="710" t="str">
        <f t="shared" si="4"/>
        <v>Vladimir Mihhailov</v>
      </c>
      <c r="AM18" s="652"/>
    </row>
    <row r="19" spans="1:39" x14ac:dyDescent="0.2">
      <c r="A19" s="685">
        <v>12</v>
      </c>
      <c r="B19" s="696" t="s">
        <v>428</v>
      </c>
      <c r="C19" s="687"/>
      <c r="D19" s="688" t="s">
        <v>377</v>
      </c>
      <c r="E19" s="689"/>
      <c r="F19" s="690"/>
      <c r="G19" s="687"/>
      <c r="H19" s="688" t="s">
        <v>377</v>
      </c>
      <c r="I19" s="689"/>
      <c r="J19" s="690"/>
      <c r="K19" s="687"/>
      <c r="L19" s="688" t="s">
        <v>377</v>
      </c>
      <c r="M19" s="689"/>
      <c r="N19" s="690"/>
      <c r="O19" s="687"/>
      <c r="P19" s="688" t="s">
        <v>377</v>
      </c>
      <c r="Q19" s="689"/>
      <c r="R19" s="690"/>
      <c r="S19" s="687"/>
      <c r="T19" s="688" t="s">
        <v>377</v>
      </c>
      <c r="U19" s="689"/>
      <c r="V19" s="690"/>
      <c r="W19" s="691">
        <f t="shared" si="5"/>
        <v>0</v>
      </c>
      <c r="X19" s="692"/>
      <c r="Y19" s="687">
        <f t="shared" si="6"/>
        <v>0</v>
      </c>
      <c r="Z19" s="688" t="s">
        <v>377</v>
      </c>
      <c r="AA19" s="693">
        <f t="shared" si="7"/>
        <v>0</v>
      </c>
      <c r="AB19" s="694">
        <f t="shared" si="8"/>
        <v>0</v>
      </c>
      <c r="AC19" s="695"/>
      <c r="AD19" s="708">
        <f t="shared" si="9"/>
        <v>90</v>
      </c>
      <c r="AE19" s="709">
        <f>IFERROR(INDEX(V!R$7:R$62,MATCH(AF19,V!L$7:L$62,0)),"")</f>
        <v>81</v>
      </c>
      <c r="AF19" s="710" t="str">
        <f t="shared" si="1"/>
        <v>Illar Tõnurist</v>
      </c>
      <c r="AG19" s="709">
        <f>IFERROR(INDEX(V!R$7:R$62,MATCH(AH19,V!L$7:L$62,0)),"")</f>
        <v>9</v>
      </c>
      <c r="AH19" s="710" t="str">
        <f t="shared" si="2"/>
        <v>Peeter Rjabov</v>
      </c>
      <c r="AI19" s="709" t="str">
        <f>IFERROR(INDEX(V!R$7:R$62,MATCH(AJ19,V!L$7:L$62,0)),"")</f>
        <v/>
      </c>
      <c r="AJ19" s="710" t="str">
        <f t="shared" si="3"/>
        <v/>
      </c>
      <c r="AK19" s="709" t="str">
        <f>IFERROR(INDEX(V!R$7:R$62,MATCH(AL19,V!L$7:L$62,0)),"")</f>
        <v/>
      </c>
      <c r="AL19" s="710" t="str">
        <f t="shared" si="4"/>
        <v/>
      </c>
      <c r="AM19" s="652"/>
    </row>
    <row r="20" spans="1:39" hidden="1" x14ac:dyDescent="0.2">
      <c r="A20" s="652"/>
      <c r="B20" s="652"/>
      <c r="C20" s="652"/>
      <c r="D20" s="652"/>
      <c r="E20" s="652"/>
      <c r="F20" s="652"/>
      <c r="G20" s="652"/>
      <c r="H20" s="652"/>
      <c r="I20" s="652"/>
      <c r="J20" s="652"/>
      <c r="K20" s="652"/>
      <c r="L20" s="652"/>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row>
    <row r="21" spans="1:39" hidden="1" x14ac:dyDescent="0.2">
      <c r="A21" s="652"/>
      <c r="B21" s="652"/>
      <c r="C21" s="652"/>
      <c r="D21" s="652"/>
      <c r="E21" s="652"/>
      <c r="F21" s="652"/>
      <c r="G21" s="652"/>
      <c r="H21" s="652"/>
      <c r="I21" s="652"/>
      <c r="J21" s="652"/>
      <c r="K21" s="652"/>
      <c r="L21" s="652"/>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row>
    <row r="22" spans="1:39" hidden="1" x14ac:dyDescent="0.2">
      <c r="A22" s="652"/>
      <c r="B22" s="652"/>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row>
    <row r="23" spans="1:39" hidden="1" x14ac:dyDescent="0.2">
      <c r="A23" s="652"/>
      <c r="B23" s="652"/>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row>
    <row r="24" spans="1:39" hidden="1" x14ac:dyDescent="0.2">
      <c r="A24" s="652"/>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row>
    <row r="25" spans="1:39" hidden="1" x14ac:dyDescent="0.2">
      <c r="A25" s="652"/>
      <c r="B25" s="652"/>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row>
    <row r="26" spans="1:39" hidden="1" x14ac:dyDescent="0.2">
      <c r="A26" s="652"/>
      <c r="B26" s="652"/>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row>
    <row r="27" spans="1:39" hidden="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row>
    <row r="28" spans="1:39" hidden="1" x14ac:dyDescent="0.2">
      <c r="A28" s="652"/>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row>
    <row r="29" spans="1:39" hidden="1" x14ac:dyDescent="0.2">
      <c r="A29" s="652"/>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row>
    <row r="30" spans="1:39"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row>
    <row r="31" spans="1:39"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row>
    <row r="32" spans="1:39"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row>
    <row r="33" spans="1:39"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row>
    <row r="34" spans="1:39"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row>
    <row r="35" spans="1:39"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row>
    <row r="36" spans="1:39"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2"/>
    </row>
    <row r="133" spans="1:39"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c r="AH133" s="652"/>
      <c r="AI133" s="652"/>
      <c r="AJ133" s="652"/>
      <c r="AK133" s="652"/>
      <c r="AL133" s="652"/>
      <c r="AM133" s="652"/>
    </row>
    <row r="134" spans="1:39" hidden="1" x14ac:dyDescent="0.2">
      <c r="A134" s="652"/>
      <c r="B134" s="652"/>
      <c r="C134" s="652"/>
      <c r="D134" s="652"/>
      <c r="E134" s="652"/>
      <c r="F134" s="652"/>
      <c r="G134" s="652"/>
      <c r="H134" s="652"/>
      <c r="I134" s="652"/>
      <c r="J134" s="652"/>
      <c r="K134" s="652"/>
      <c r="L134" s="652"/>
      <c r="M134" s="652"/>
      <c r="N134" s="652"/>
      <c r="O134" s="652"/>
      <c r="P134" s="652"/>
      <c r="Q134" s="652"/>
      <c r="R134" s="652"/>
      <c r="S134" s="652"/>
      <c r="T134" s="652"/>
      <c r="U134" s="652"/>
      <c r="V134" s="652"/>
      <c r="W134" s="652"/>
      <c r="X134" s="652"/>
      <c r="Y134" s="652"/>
      <c r="Z134" s="652"/>
      <c r="AA134" s="652"/>
      <c r="AB134" s="652"/>
      <c r="AC134" s="652"/>
      <c r="AD134" s="652"/>
      <c r="AE134" s="652"/>
      <c r="AF134" s="652"/>
      <c r="AG134" s="652"/>
      <c r="AH134" s="652"/>
      <c r="AI134" s="652"/>
      <c r="AJ134" s="652"/>
      <c r="AK134" s="652"/>
      <c r="AL134" s="652"/>
      <c r="AM134" s="652"/>
    </row>
    <row r="135" spans="1:39" hidden="1" x14ac:dyDescent="0.2">
      <c r="A135" s="652"/>
      <c r="B135" s="652"/>
      <c r="C135" s="652"/>
      <c r="D135" s="652"/>
      <c r="E135" s="652"/>
      <c r="F135" s="652"/>
      <c r="G135" s="652"/>
      <c r="H135" s="652"/>
      <c r="I135" s="652"/>
      <c r="J135" s="652"/>
      <c r="K135" s="652"/>
      <c r="L135" s="657"/>
      <c r="M135" s="657"/>
      <c r="N135" s="657"/>
      <c r="O135" s="652"/>
      <c r="P135" s="652"/>
      <c r="Q135" s="652"/>
      <c r="R135" s="652"/>
      <c r="S135" s="652"/>
      <c r="T135" s="657"/>
      <c r="U135" s="657"/>
      <c r="V135" s="657"/>
      <c r="W135" s="652"/>
      <c r="X135" s="652"/>
      <c r="Y135" s="652"/>
      <c r="Z135" s="652"/>
      <c r="AA135" s="652"/>
      <c r="AB135" s="652"/>
      <c r="AC135" s="652"/>
      <c r="AD135" s="652"/>
      <c r="AE135" s="652"/>
      <c r="AF135" s="652"/>
      <c r="AG135" s="652"/>
      <c r="AH135" s="652"/>
      <c r="AI135" s="652"/>
      <c r="AJ135" s="652"/>
      <c r="AK135" s="652"/>
      <c r="AL135" s="652"/>
      <c r="AM135" s="652"/>
    </row>
    <row r="136" spans="1:39" hidden="1" x14ac:dyDescent="0.2">
      <c r="A136" s="652"/>
      <c r="B136" s="652"/>
      <c r="C136" s="652"/>
      <c r="D136" s="652"/>
      <c r="E136" s="652"/>
      <c r="F136" s="652"/>
      <c r="G136" s="652"/>
      <c r="H136" s="652"/>
      <c r="I136" s="652"/>
      <c r="J136" s="652"/>
      <c r="K136" s="652"/>
      <c r="L136" s="657"/>
      <c r="M136" s="657"/>
      <c r="N136" s="657"/>
      <c r="O136" s="652"/>
      <c r="P136" s="652"/>
      <c r="Q136" s="652"/>
      <c r="R136" s="652"/>
      <c r="S136" s="652"/>
      <c r="T136" s="657"/>
      <c r="U136" s="657"/>
      <c r="V136" s="657"/>
      <c r="W136" s="652"/>
      <c r="X136" s="652"/>
      <c r="Y136" s="652"/>
      <c r="Z136" s="652"/>
      <c r="AA136" s="652"/>
      <c r="AB136" s="652"/>
      <c r="AC136" s="652"/>
      <c r="AD136" s="652"/>
      <c r="AE136" s="652"/>
      <c r="AF136" s="652"/>
      <c r="AG136" s="652"/>
      <c r="AH136" s="652"/>
      <c r="AI136" s="652"/>
      <c r="AJ136" s="652"/>
      <c r="AK136" s="652"/>
      <c r="AL136" s="652"/>
      <c r="AM136" s="652"/>
    </row>
    <row r="137" spans="1:39" hidden="1" x14ac:dyDescent="0.2">
      <c r="A137" s="652"/>
      <c r="B137" s="652"/>
      <c r="C137" s="652"/>
      <c r="D137" s="652"/>
      <c r="E137" s="652"/>
      <c r="F137" s="652"/>
      <c r="G137" s="652"/>
      <c r="H137" s="652"/>
      <c r="I137" s="652"/>
      <c r="J137" s="652"/>
      <c r="K137" s="652"/>
      <c r="L137" s="657"/>
      <c r="M137" s="657"/>
      <c r="N137" s="657"/>
      <c r="O137" s="652"/>
      <c r="P137" s="652"/>
      <c r="Q137" s="652"/>
      <c r="R137" s="652"/>
      <c r="S137" s="652"/>
      <c r="T137" s="657"/>
      <c r="U137" s="657"/>
      <c r="V137" s="657"/>
      <c r="W137" s="652"/>
      <c r="X137" s="652"/>
      <c r="Y137" s="652"/>
      <c r="Z137" s="652"/>
      <c r="AA137" s="652"/>
      <c r="AB137" s="652"/>
      <c r="AC137" s="652"/>
      <c r="AD137" s="652"/>
      <c r="AE137" s="652"/>
      <c r="AF137" s="652"/>
      <c r="AG137" s="652"/>
      <c r="AH137" s="652"/>
      <c r="AI137" s="652"/>
      <c r="AJ137" s="652"/>
      <c r="AK137" s="652"/>
      <c r="AL137" s="652"/>
      <c r="AM137" s="652"/>
    </row>
    <row r="138" spans="1:39" hidden="1" x14ac:dyDescent="0.2">
      <c r="A138" s="652"/>
      <c r="B138" s="652"/>
      <c r="C138" s="652"/>
      <c r="D138" s="652"/>
      <c r="E138" s="652"/>
      <c r="F138" s="652"/>
      <c r="G138" s="652"/>
      <c r="H138" s="652"/>
      <c r="I138" s="652"/>
      <c r="J138" s="652"/>
      <c r="K138" s="652"/>
      <c r="L138" s="657"/>
      <c r="M138" s="657"/>
      <c r="N138" s="657"/>
      <c r="O138" s="652"/>
      <c r="P138" s="652"/>
      <c r="Q138" s="652"/>
      <c r="R138" s="652"/>
      <c r="S138" s="652"/>
      <c r="T138" s="657"/>
      <c r="U138" s="657"/>
      <c r="V138" s="657"/>
      <c r="W138" s="652"/>
      <c r="X138" s="652"/>
      <c r="Y138" s="652"/>
      <c r="Z138" s="652"/>
      <c r="AA138" s="652"/>
      <c r="AB138" s="652"/>
      <c r="AC138" s="652"/>
      <c r="AD138" s="652"/>
      <c r="AE138" s="652"/>
      <c r="AF138" s="652"/>
      <c r="AG138" s="652"/>
      <c r="AH138" s="652"/>
      <c r="AI138" s="652"/>
      <c r="AJ138" s="652"/>
      <c r="AK138" s="652"/>
      <c r="AL138" s="652"/>
      <c r="AM138" s="652"/>
    </row>
    <row r="139" spans="1:39" hidden="1" x14ac:dyDescent="0.2">
      <c r="A139" s="652"/>
      <c r="B139" s="652"/>
      <c r="C139" s="652"/>
      <c r="D139" s="652"/>
      <c r="E139" s="652"/>
      <c r="F139" s="652"/>
      <c r="G139" s="652"/>
      <c r="H139" s="652"/>
      <c r="I139" s="652"/>
      <c r="J139" s="652"/>
      <c r="K139" s="652"/>
      <c r="L139" s="657"/>
      <c r="M139" s="657"/>
      <c r="N139" s="657"/>
      <c r="O139" s="652"/>
      <c r="P139" s="652"/>
      <c r="Q139" s="652"/>
      <c r="R139" s="652"/>
      <c r="S139" s="652"/>
      <c r="T139" s="657"/>
      <c r="U139" s="657"/>
      <c r="V139" s="657"/>
      <c r="W139" s="652"/>
      <c r="X139" s="652"/>
      <c r="Y139" s="652"/>
      <c r="Z139" s="652"/>
      <c r="AA139" s="652"/>
      <c r="AB139" s="652"/>
      <c r="AC139" s="652"/>
      <c r="AD139" s="652"/>
      <c r="AE139" s="652"/>
      <c r="AF139" s="652"/>
      <c r="AG139" s="652"/>
      <c r="AH139" s="652"/>
      <c r="AI139" s="652"/>
      <c r="AJ139" s="652"/>
      <c r="AK139" s="652"/>
      <c r="AL139" s="652"/>
      <c r="AM139" s="652"/>
    </row>
    <row r="140" spans="1:39" hidden="1" x14ac:dyDescent="0.2">
      <c r="A140" s="652"/>
      <c r="B140" s="652"/>
      <c r="C140" s="652"/>
      <c r="D140" s="652"/>
      <c r="E140" s="652"/>
      <c r="F140" s="652"/>
      <c r="G140" s="652"/>
      <c r="H140" s="652"/>
      <c r="I140" s="652"/>
      <c r="J140" s="652"/>
      <c r="K140" s="652"/>
      <c r="L140" s="657"/>
      <c r="M140" s="657"/>
      <c r="N140" s="657"/>
      <c r="O140" s="652"/>
      <c r="P140" s="652"/>
      <c r="Q140" s="652"/>
      <c r="R140" s="652"/>
      <c r="S140" s="652"/>
      <c r="T140" s="657"/>
      <c r="U140" s="657"/>
      <c r="V140" s="657"/>
      <c r="W140" s="652"/>
      <c r="X140" s="652"/>
      <c r="Y140" s="652"/>
      <c r="Z140" s="652"/>
      <c r="AA140" s="652"/>
      <c r="AB140" s="652"/>
      <c r="AC140" s="652"/>
      <c r="AD140" s="652"/>
      <c r="AE140" s="652"/>
      <c r="AF140" s="652"/>
      <c r="AG140" s="652"/>
      <c r="AH140" s="652"/>
      <c r="AI140" s="652"/>
      <c r="AJ140" s="652"/>
      <c r="AK140" s="652"/>
      <c r="AL140" s="652"/>
      <c r="AM140" s="652"/>
    </row>
    <row r="141" spans="1:39" hidden="1" x14ac:dyDescent="0.2">
      <c r="A141" s="652"/>
      <c r="B141" s="652"/>
      <c r="C141" s="652"/>
      <c r="D141" s="652"/>
      <c r="E141" s="652"/>
      <c r="F141" s="652"/>
      <c r="G141" s="652"/>
      <c r="H141" s="652"/>
      <c r="I141" s="652"/>
      <c r="J141" s="652"/>
      <c r="K141" s="652"/>
      <c r="L141" s="657"/>
      <c r="M141" s="657"/>
      <c r="N141" s="657"/>
      <c r="O141" s="652"/>
      <c r="P141" s="652"/>
      <c r="Q141" s="652"/>
      <c r="R141" s="652"/>
      <c r="S141" s="652"/>
      <c r="T141" s="657"/>
      <c r="U141" s="657"/>
      <c r="V141" s="657"/>
      <c r="W141" s="652"/>
      <c r="X141" s="652"/>
      <c r="Y141" s="652"/>
      <c r="Z141" s="652"/>
      <c r="AA141" s="652"/>
      <c r="AB141" s="652"/>
      <c r="AC141" s="652"/>
      <c r="AD141" s="652"/>
      <c r="AE141" s="652"/>
      <c r="AF141" s="652"/>
      <c r="AG141" s="652"/>
      <c r="AH141" s="652"/>
      <c r="AI141" s="652"/>
      <c r="AJ141" s="652"/>
      <c r="AK141" s="652"/>
      <c r="AL141" s="652"/>
      <c r="AM141" s="652"/>
    </row>
    <row r="142" spans="1:39" hidden="1" x14ac:dyDescent="0.2">
      <c r="A142" s="652"/>
      <c r="B142" s="652"/>
      <c r="C142" s="652"/>
      <c r="D142" s="652"/>
      <c r="E142" s="652"/>
      <c r="F142" s="652"/>
      <c r="G142" s="652"/>
      <c r="H142" s="652"/>
      <c r="I142" s="652"/>
      <c r="J142" s="652"/>
      <c r="K142" s="652"/>
      <c r="L142" s="657"/>
      <c r="M142" s="657"/>
      <c r="N142" s="657"/>
      <c r="O142" s="652"/>
      <c r="P142" s="652"/>
      <c r="Q142" s="652"/>
      <c r="R142" s="652"/>
      <c r="S142" s="652"/>
      <c r="T142" s="657"/>
      <c r="U142" s="657"/>
      <c r="V142" s="657"/>
      <c r="W142" s="652"/>
      <c r="X142" s="652"/>
      <c r="Y142" s="652"/>
      <c r="Z142" s="652"/>
      <c r="AA142" s="652"/>
      <c r="AB142" s="652"/>
      <c r="AC142" s="652"/>
      <c r="AD142" s="652"/>
      <c r="AE142" s="652"/>
      <c r="AF142" s="652"/>
      <c r="AG142" s="652"/>
      <c r="AH142" s="652"/>
      <c r="AI142" s="652"/>
      <c r="AJ142" s="652"/>
      <c r="AK142" s="652"/>
      <c r="AL142" s="652"/>
      <c r="AM142" s="652"/>
    </row>
    <row r="143" spans="1:39" hidden="1" x14ac:dyDescent="0.2">
      <c r="A143" s="652"/>
      <c r="B143" s="652"/>
      <c r="C143" s="652"/>
      <c r="D143" s="652"/>
      <c r="E143" s="652"/>
      <c r="F143" s="652"/>
      <c r="G143" s="652"/>
      <c r="H143" s="652"/>
      <c r="I143" s="652"/>
      <c r="J143" s="652"/>
      <c r="K143" s="652"/>
      <c r="L143" s="657"/>
      <c r="M143" s="657"/>
      <c r="N143" s="657"/>
      <c r="O143" s="652"/>
      <c r="P143" s="652"/>
      <c r="Q143" s="652"/>
      <c r="R143" s="652"/>
      <c r="S143" s="652"/>
      <c r="T143" s="657"/>
      <c r="U143" s="657"/>
      <c r="V143" s="657"/>
      <c r="W143" s="652"/>
      <c r="X143" s="652"/>
      <c r="Y143" s="652"/>
      <c r="Z143" s="652"/>
      <c r="AA143" s="652"/>
      <c r="AB143" s="652"/>
      <c r="AC143" s="652"/>
      <c r="AD143" s="652"/>
      <c r="AE143" s="652"/>
      <c r="AF143" s="652"/>
      <c r="AG143" s="652"/>
      <c r="AH143" s="652"/>
      <c r="AI143" s="652"/>
      <c r="AJ143" s="652"/>
      <c r="AK143" s="652"/>
      <c r="AL143" s="652"/>
      <c r="AM143" s="652"/>
    </row>
    <row r="144" spans="1:39" hidden="1" x14ac:dyDescent="0.2">
      <c r="A144" s="652"/>
      <c r="B144" s="652"/>
      <c r="C144" s="652"/>
      <c r="D144" s="652"/>
      <c r="E144" s="652"/>
      <c r="F144" s="652"/>
      <c r="G144" s="652"/>
      <c r="H144" s="652"/>
      <c r="I144" s="652"/>
      <c r="J144" s="652"/>
      <c r="K144" s="652"/>
      <c r="L144" s="657"/>
      <c r="M144" s="657"/>
      <c r="N144" s="657"/>
      <c r="O144" s="652"/>
      <c r="P144" s="652"/>
      <c r="Q144" s="652"/>
      <c r="R144" s="652"/>
      <c r="S144" s="652"/>
      <c r="T144" s="657"/>
      <c r="U144" s="657"/>
      <c r="V144" s="657"/>
      <c r="W144" s="652"/>
      <c r="X144" s="652"/>
      <c r="Y144" s="652"/>
      <c r="Z144" s="652"/>
      <c r="AA144" s="652"/>
      <c r="AB144" s="652"/>
      <c r="AC144" s="652"/>
      <c r="AD144" s="652"/>
      <c r="AE144" s="652"/>
      <c r="AF144" s="652"/>
      <c r="AG144" s="652"/>
      <c r="AH144" s="652"/>
      <c r="AI144" s="652"/>
      <c r="AJ144" s="652"/>
      <c r="AK144" s="652"/>
      <c r="AL144" s="652"/>
      <c r="AM144" s="652"/>
    </row>
    <row r="145" spans="1:39"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652"/>
      <c r="AF145" s="652"/>
      <c r="AG145" s="652"/>
      <c r="AH145" s="652"/>
      <c r="AI145" s="652"/>
      <c r="AJ145" s="652"/>
      <c r="AK145" s="652"/>
      <c r="AL145" s="652"/>
      <c r="AM145" s="652"/>
    </row>
    <row r="146" spans="1:39"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652"/>
      <c r="AF146" s="652"/>
      <c r="AG146" s="652"/>
      <c r="AH146" s="652"/>
      <c r="AI146" s="652"/>
      <c r="AJ146" s="652"/>
      <c r="AK146" s="652"/>
      <c r="AL146" s="652"/>
      <c r="AM146" s="652"/>
    </row>
    <row r="147" spans="1:39"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c r="AI148" s="652"/>
      <c r="AJ148" s="652"/>
      <c r="AK148" s="652"/>
      <c r="AL148" s="652"/>
      <c r="AM148" s="652"/>
    </row>
    <row r="149" spans="1:39"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c r="AH149" s="652"/>
      <c r="AI149" s="652"/>
      <c r="AJ149" s="652"/>
      <c r="AK149" s="652"/>
      <c r="AL149" s="652"/>
      <c r="AM149" s="652"/>
    </row>
    <row r="150" spans="1:39" hidden="1" x14ac:dyDescent="0.2">
      <c r="A150" s="652"/>
      <c r="B150" s="652"/>
      <c r="C150" s="652"/>
      <c r="D150" s="652"/>
      <c r="E150" s="652"/>
      <c r="F150" s="652"/>
      <c r="G150" s="652"/>
      <c r="H150" s="652"/>
      <c r="I150" s="652"/>
      <c r="J150" s="652"/>
      <c r="K150" s="652"/>
      <c r="L150" s="657"/>
      <c r="M150" s="657"/>
      <c r="N150" s="657"/>
      <c r="O150" s="652"/>
      <c r="P150" s="652"/>
      <c r="Q150" s="652"/>
      <c r="R150" s="652"/>
      <c r="S150" s="652"/>
      <c r="T150" s="657"/>
      <c r="U150" s="657"/>
      <c r="V150" s="657"/>
      <c r="W150" s="652"/>
      <c r="X150" s="652"/>
      <c r="Y150" s="652"/>
      <c r="Z150" s="652"/>
      <c r="AA150" s="652"/>
      <c r="AB150" s="652"/>
      <c r="AC150" s="652"/>
      <c r="AD150" s="652"/>
      <c r="AE150" s="652"/>
      <c r="AF150" s="652"/>
      <c r="AG150" s="652"/>
      <c r="AH150" s="652"/>
      <c r="AI150" s="652"/>
      <c r="AJ150" s="652"/>
      <c r="AK150" s="652"/>
      <c r="AL150" s="652"/>
      <c r="AM150" s="652"/>
    </row>
    <row r="151" spans="1:39" hidden="1" x14ac:dyDescent="0.2">
      <c r="A151" s="652"/>
      <c r="B151" s="652"/>
      <c r="C151" s="652"/>
      <c r="D151" s="652"/>
      <c r="E151" s="652"/>
      <c r="F151" s="652"/>
      <c r="G151" s="652"/>
      <c r="H151" s="652"/>
      <c r="I151" s="652"/>
      <c r="J151" s="652"/>
      <c r="K151" s="652"/>
      <c r="L151" s="652"/>
      <c r="M151" s="652"/>
      <c r="N151" s="652"/>
      <c r="O151" s="652"/>
      <c r="P151" s="652"/>
      <c r="Q151" s="652"/>
      <c r="R151" s="652"/>
      <c r="S151" s="652"/>
      <c r="T151" s="652"/>
      <c r="U151" s="652"/>
      <c r="V151" s="652"/>
      <c r="W151" s="652"/>
      <c r="X151" s="652"/>
      <c r="Y151" s="652"/>
      <c r="Z151" s="652"/>
      <c r="AA151" s="652"/>
      <c r="AB151" s="652"/>
      <c r="AC151" s="652"/>
      <c r="AD151" s="652"/>
      <c r="AE151" s="652"/>
      <c r="AF151" s="652"/>
      <c r="AG151" s="652"/>
      <c r="AH151" s="652"/>
      <c r="AI151" s="652"/>
      <c r="AJ151" s="652"/>
      <c r="AK151" s="652"/>
      <c r="AL151" s="652"/>
      <c r="AM151" s="652"/>
    </row>
    <row r="152" spans="1:39" hidden="1" x14ac:dyDescent="0.2">
      <c r="A152" s="652"/>
      <c r="B152" s="652"/>
      <c r="C152" s="652"/>
      <c r="D152" s="652"/>
      <c r="E152" s="652"/>
      <c r="F152" s="652"/>
      <c r="G152" s="652"/>
      <c r="H152" s="652"/>
      <c r="I152" s="652"/>
      <c r="J152" s="652"/>
      <c r="K152" s="652"/>
      <c r="L152" s="652"/>
      <c r="M152" s="652"/>
      <c r="N152" s="652"/>
      <c r="O152" s="652"/>
      <c r="P152" s="652"/>
      <c r="Q152" s="652"/>
      <c r="R152" s="652"/>
      <c r="S152" s="652"/>
      <c r="T152" s="652"/>
      <c r="U152" s="652"/>
      <c r="V152" s="652"/>
      <c r="W152" s="652"/>
      <c r="X152" s="652"/>
      <c r="Y152" s="652"/>
      <c r="Z152" s="652"/>
      <c r="AA152" s="652"/>
      <c r="AB152" s="652"/>
      <c r="AC152" s="652"/>
      <c r="AD152" s="652"/>
      <c r="AE152" s="652"/>
      <c r="AF152" s="652"/>
      <c r="AG152" s="652"/>
      <c r="AH152" s="652"/>
      <c r="AI152" s="652"/>
      <c r="AJ152" s="652"/>
      <c r="AK152" s="652"/>
      <c r="AL152" s="652"/>
      <c r="AM152" s="652"/>
    </row>
    <row r="153" spans="1:39" hidden="1" x14ac:dyDescent="0.2">
      <c r="A153" s="652"/>
      <c r="B153" s="652"/>
      <c r="C153" s="652"/>
      <c r="D153" s="652"/>
      <c r="E153" s="652"/>
      <c r="F153" s="652"/>
      <c r="G153" s="652"/>
      <c r="H153" s="652"/>
      <c r="I153" s="652"/>
      <c r="J153" s="652"/>
      <c r="K153" s="652"/>
      <c r="L153" s="652"/>
      <c r="M153" s="652"/>
      <c r="N153" s="652"/>
      <c r="O153" s="652"/>
      <c r="P153" s="652"/>
      <c r="Q153" s="652"/>
      <c r="R153" s="652"/>
      <c r="S153" s="652"/>
      <c r="T153" s="652"/>
      <c r="U153" s="652"/>
      <c r="V153" s="652"/>
      <c r="W153" s="652"/>
      <c r="X153" s="652"/>
      <c r="Y153" s="652"/>
      <c r="Z153" s="652"/>
      <c r="AA153" s="652"/>
      <c r="AB153" s="652"/>
      <c r="AC153" s="652"/>
      <c r="AD153" s="652"/>
      <c r="AE153" s="652"/>
      <c r="AF153" s="652"/>
      <c r="AG153" s="652"/>
      <c r="AH153" s="652"/>
      <c r="AI153" s="652"/>
      <c r="AJ153" s="652"/>
      <c r="AK153" s="652"/>
      <c r="AL153" s="652"/>
      <c r="AM153" s="652"/>
    </row>
    <row r="154" spans="1:39" hidden="1" x14ac:dyDescent="0.2">
      <c r="A154" s="652"/>
      <c r="B154" s="652"/>
      <c r="C154" s="652"/>
      <c r="D154" s="652"/>
      <c r="E154" s="652"/>
      <c r="F154" s="652"/>
      <c r="G154" s="652"/>
      <c r="H154" s="652"/>
      <c r="I154" s="652"/>
      <c r="J154" s="652"/>
      <c r="K154" s="652"/>
      <c r="L154" s="652"/>
      <c r="M154" s="652"/>
      <c r="N154" s="652"/>
      <c r="O154" s="652"/>
      <c r="P154" s="652"/>
      <c r="Q154" s="652"/>
      <c r="R154" s="652"/>
      <c r="S154" s="652"/>
      <c r="T154" s="652"/>
      <c r="U154" s="652"/>
      <c r="V154" s="652"/>
      <c r="W154" s="652"/>
      <c r="X154" s="652"/>
      <c r="Y154" s="652"/>
      <c r="Z154" s="652"/>
      <c r="AA154" s="652"/>
      <c r="AB154" s="652"/>
      <c r="AC154" s="652"/>
      <c r="AD154" s="652"/>
      <c r="AE154" s="652"/>
      <c r="AF154" s="652"/>
      <c r="AG154" s="652"/>
      <c r="AH154" s="652"/>
      <c r="AI154" s="652"/>
      <c r="AJ154" s="652"/>
      <c r="AK154" s="652"/>
      <c r="AL154" s="652"/>
      <c r="AM154" s="652"/>
    </row>
    <row r="155" spans="1:39" hidden="1" x14ac:dyDescent="0.2">
      <c r="A155" s="652"/>
      <c r="B155" s="652"/>
      <c r="C155" s="652"/>
      <c r="D155" s="652"/>
      <c r="E155" s="652"/>
      <c r="F155" s="652"/>
      <c r="G155" s="652"/>
      <c r="H155" s="652"/>
      <c r="I155" s="652"/>
      <c r="J155" s="652"/>
      <c r="K155" s="652"/>
      <c r="L155" s="652"/>
      <c r="M155" s="652"/>
      <c r="N155" s="652"/>
      <c r="O155" s="652"/>
      <c r="P155" s="652"/>
      <c r="Q155" s="652"/>
      <c r="R155" s="652"/>
      <c r="S155" s="652"/>
      <c r="T155" s="652"/>
      <c r="U155" s="652"/>
      <c r="V155" s="652"/>
      <c r="W155" s="652"/>
      <c r="X155" s="652"/>
      <c r="Y155" s="652"/>
      <c r="Z155" s="652"/>
      <c r="AA155" s="652"/>
      <c r="AB155" s="652"/>
      <c r="AC155" s="652"/>
      <c r="AD155" s="652"/>
      <c r="AE155" s="652"/>
      <c r="AF155" s="652"/>
      <c r="AG155" s="652"/>
      <c r="AH155" s="652"/>
      <c r="AI155" s="652"/>
      <c r="AJ155" s="652"/>
      <c r="AK155" s="652"/>
      <c r="AL155" s="652"/>
      <c r="AM155" s="652"/>
    </row>
    <row r="156" spans="1:39" hidden="1" x14ac:dyDescent="0.2">
      <c r="A156" s="652"/>
      <c r="B156" s="652"/>
      <c r="C156" s="652"/>
      <c r="D156" s="652"/>
      <c r="E156" s="652"/>
      <c r="F156" s="652"/>
      <c r="G156" s="652"/>
      <c r="H156" s="652"/>
      <c r="I156" s="652"/>
      <c r="J156" s="652"/>
      <c r="K156" s="652"/>
      <c r="L156" s="652"/>
      <c r="M156" s="652"/>
      <c r="N156" s="652"/>
      <c r="O156" s="652"/>
      <c r="P156" s="652"/>
      <c r="Q156" s="652"/>
      <c r="R156" s="652"/>
      <c r="S156" s="652"/>
      <c r="T156" s="652"/>
      <c r="U156" s="652"/>
      <c r="V156" s="652"/>
      <c r="W156" s="652"/>
      <c r="X156" s="652"/>
      <c r="Y156" s="652"/>
      <c r="Z156" s="652"/>
      <c r="AA156" s="652"/>
      <c r="AB156" s="652"/>
      <c r="AC156" s="652"/>
      <c r="AD156" s="652"/>
      <c r="AE156" s="652"/>
      <c r="AF156" s="652"/>
      <c r="AG156" s="652"/>
      <c r="AH156" s="652"/>
      <c r="AI156" s="652"/>
      <c r="AJ156" s="652"/>
      <c r="AK156" s="652"/>
      <c r="AL156" s="652"/>
      <c r="AM156" s="652"/>
    </row>
    <row r="157" spans="1:39" hidden="1" x14ac:dyDescent="0.2">
      <c r="A157" s="652"/>
      <c r="B157" s="652"/>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652"/>
      <c r="AK157" s="652"/>
      <c r="AL157" s="652"/>
      <c r="AM157" s="652"/>
    </row>
    <row r="158" spans="1:39" hidden="1" x14ac:dyDescent="0.2">
      <c r="A158" s="652"/>
      <c r="B158" s="652"/>
      <c r="C158" s="652"/>
      <c r="D158" s="652"/>
      <c r="E158" s="652"/>
      <c r="F158" s="652"/>
      <c r="G158" s="652"/>
      <c r="H158" s="652"/>
      <c r="I158" s="652"/>
      <c r="J158" s="652"/>
      <c r="K158" s="652"/>
      <c r="L158" s="652"/>
      <c r="M158" s="652"/>
      <c r="N158" s="652"/>
      <c r="O158" s="652"/>
      <c r="P158" s="652"/>
      <c r="Q158" s="652"/>
      <c r="R158" s="652"/>
      <c r="S158" s="652"/>
      <c r="T158" s="652"/>
      <c r="U158" s="652"/>
      <c r="V158" s="652"/>
      <c r="W158" s="652"/>
      <c r="X158" s="652"/>
      <c r="Y158" s="652"/>
      <c r="Z158" s="652"/>
      <c r="AA158" s="652"/>
      <c r="AB158" s="652"/>
      <c r="AC158" s="652"/>
      <c r="AD158" s="652"/>
      <c r="AE158" s="652"/>
      <c r="AF158" s="652"/>
      <c r="AG158" s="652"/>
      <c r="AH158" s="652"/>
      <c r="AI158" s="652"/>
      <c r="AJ158" s="652"/>
      <c r="AK158" s="652"/>
      <c r="AL158" s="652"/>
      <c r="AM158" s="652"/>
    </row>
    <row r="159" spans="1:39" hidden="1" x14ac:dyDescent="0.2">
      <c r="A159" s="652"/>
      <c r="B159" s="652"/>
      <c r="C159" s="652"/>
      <c r="D159" s="652"/>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652"/>
      <c r="AF159" s="652"/>
      <c r="AG159" s="652"/>
      <c r="AH159" s="652"/>
      <c r="AI159" s="652"/>
      <c r="AJ159" s="652"/>
      <c r="AK159" s="652"/>
      <c r="AL159" s="652"/>
      <c r="AM159" s="652"/>
    </row>
    <row r="160" spans="1:39" hidden="1" x14ac:dyDescent="0.2">
      <c r="A160" s="652"/>
      <c r="B160" s="652"/>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row>
    <row r="161" spans="1:39"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row>
    <row r="162" spans="1:39" hidden="1" x14ac:dyDescent="0.2">
      <c r="A162" s="652"/>
      <c r="B162" s="652"/>
      <c r="C162" s="652"/>
      <c r="D162" s="652"/>
      <c r="E162" s="652"/>
      <c r="F162" s="652"/>
      <c r="G162" s="652"/>
      <c r="H162" s="652"/>
      <c r="I162" s="652"/>
      <c r="J162" s="652"/>
      <c r="K162" s="652"/>
      <c r="L162" s="652"/>
      <c r="M162" s="652"/>
      <c r="N162" s="652"/>
      <c r="O162" s="652"/>
      <c r="P162" s="652"/>
      <c r="Q162" s="652"/>
      <c r="R162" s="652"/>
      <c r="S162" s="652"/>
      <c r="T162" s="652"/>
      <c r="U162" s="652"/>
      <c r="V162" s="652"/>
      <c r="W162" s="652"/>
      <c r="X162" s="652"/>
      <c r="Y162" s="652"/>
      <c r="Z162" s="652"/>
      <c r="AA162" s="652"/>
      <c r="AB162" s="652"/>
      <c r="AC162" s="652"/>
      <c r="AD162" s="652"/>
      <c r="AE162" s="652"/>
      <c r="AF162" s="652"/>
      <c r="AG162" s="652"/>
      <c r="AH162" s="652"/>
      <c r="AI162" s="652"/>
      <c r="AJ162" s="652"/>
      <c r="AK162" s="652"/>
      <c r="AL162" s="652"/>
      <c r="AM162" s="652"/>
    </row>
    <row r="163" spans="1:39" hidden="1" x14ac:dyDescent="0.2">
      <c r="A163" s="652"/>
      <c r="B163" s="652"/>
      <c r="C163" s="652"/>
      <c r="D163" s="652"/>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52"/>
      <c r="AE163" s="652"/>
      <c r="AF163" s="652"/>
      <c r="AG163" s="652"/>
      <c r="AH163" s="652"/>
      <c r="AI163" s="652"/>
      <c r="AJ163" s="652"/>
      <c r="AK163" s="652"/>
      <c r="AL163" s="652"/>
      <c r="AM163" s="652"/>
    </row>
    <row r="164" spans="1:39" hidden="1" x14ac:dyDescent="0.2">
      <c r="A164" s="652"/>
      <c r="B164" s="652"/>
      <c r="C164" s="652"/>
      <c r="D164" s="652"/>
      <c r="E164" s="652"/>
      <c r="F164" s="652"/>
      <c r="G164" s="652"/>
      <c r="H164" s="652"/>
      <c r="I164" s="652"/>
      <c r="J164" s="652"/>
      <c r="K164" s="652"/>
      <c r="L164" s="657"/>
      <c r="M164" s="657"/>
      <c r="N164" s="657"/>
      <c r="O164" s="652"/>
      <c r="P164" s="652"/>
      <c r="Q164" s="652"/>
      <c r="R164" s="652"/>
      <c r="S164" s="652"/>
      <c r="T164" s="657"/>
      <c r="U164" s="657"/>
      <c r="V164" s="657"/>
      <c r="W164" s="652"/>
      <c r="X164" s="652"/>
      <c r="Y164" s="652"/>
      <c r="Z164" s="652"/>
      <c r="AA164" s="652"/>
      <c r="AB164" s="652"/>
      <c r="AC164" s="652"/>
      <c r="AD164" s="652"/>
      <c r="AE164" s="652"/>
      <c r="AF164" s="652"/>
      <c r="AG164" s="652"/>
      <c r="AH164" s="652"/>
      <c r="AI164" s="652"/>
      <c r="AJ164" s="652"/>
      <c r="AK164" s="652"/>
      <c r="AL164" s="652"/>
      <c r="AM164" s="652"/>
    </row>
    <row r="165" spans="1:39" hidden="1" x14ac:dyDescent="0.2">
      <c r="A165" s="652"/>
      <c r="B165" s="652"/>
      <c r="C165" s="652"/>
      <c r="D165" s="652"/>
      <c r="E165" s="652"/>
      <c r="F165" s="652"/>
      <c r="G165" s="652"/>
      <c r="H165" s="652"/>
      <c r="I165" s="652"/>
      <c r="J165" s="652"/>
      <c r="K165" s="652"/>
      <c r="L165" s="657"/>
      <c r="M165" s="657"/>
      <c r="N165" s="657"/>
      <c r="O165" s="652"/>
      <c r="P165" s="652"/>
      <c r="Q165" s="652"/>
      <c r="R165" s="652"/>
      <c r="S165" s="652"/>
      <c r="T165" s="657"/>
      <c r="U165" s="657"/>
      <c r="V165" s="657"/>
      <c r="W165" s="652"/>
      <c r="X165" s="652"/>
      <c r="Y165" s="652"/>
      <c r="Z165" s="652"/>
      <c r="AA165" s="652"/>
      <c r="AB165" s="652"/>
      <c r="AC165" s="652"/>
      <c r="AD165" s="652"/>
      <c r="AE165" s="652"/>
      <c r="AF165" s="652"/>
      <c r="AG165" s="652"/>
      <c r="AH165" s="652"/>
      <c r="AI165" s="652"/>
      <c r="AJ165" s="652"/>
      <c r="AK165" s="652"/>
      <c r="AL165" s="652"/>
      <c r="AM165" s="652"/>
    </row>
    <row r="166" spans="1:39" hidden="1" x14ac:dyDescent="0.2">
      <c r="A166" s="652"/>
      <c r="B166" s="652"/>
      <c r="C166" s="652"/>
      <c r="D166" s="652"/>
      <c r="E166" s="652"/>
      <c r="F166" s="652"/>
      <c r="G166" s="652"/>
      <c r="H166" s="652"/>
      <c r="I166" s="652"/>
      <c r="J166" s="652"/>
      <c r="K166" s="652"/>
      <c r="L166" s="657"/>
      <c r="M166" s="657"/>
      <c r="N166" s="657"/>
      <c r="O166" s="652"/>
      <c r="P166" s="652"/>
      <c r="Q166" s="652"/>
      <c r="R166" s="652"/>
      <c r="S166" s="652"/>
      <c r="T166" s="657"/>
      <c r="U166" s="657"/>
      <c r="V166" s="657"/>
      <c r="W166" s="652"/>
      <c r="X166" s="652"/>
      <c r="Y166" s="652"/>
      <c r="Z166" s="652"/>
      <c r="AA166" s="652"/>
      <c r="AB166" s="652"/>
      <c r="AC166" s="652"/>
      <c r="AD166" s="652"/>
      <c r="AE166" s="652"/>
      <c r="AF166" s="652"/>
      <c r="AG166" s="652"/>
      <c r="AH166" s="652"/>
      <c r="AI166" s="652"/>
      <c r="AJ166" s="652"/>
      <c r="AK166" s="652"/>
      <c r="AL166" s="652"/>
      <c r="AM166" s="652"/>
    </row>
    <row r="167" spans="1:39" hidden="1" x14ac:dyDescent="0.2">
      <c r="A167" s="652"/>
      <c r="B167" s="652"/>
      <c r="C167" s="652"/>
      <c r="D167" s="652"/>
      <c r="E167" s="652"/>
      <c r="F167" s="652"/>
      <c r="G167" s="652"/>
      <c r="H167" s="652"/>
      <c r="I167" s="652"/>
      <c r="J167" s="652"/>
      <c r="K167" s="652"/>
      <c r="L167" s="657"/>
      <c r="M167" s="657"/>
      <c r="N167" s="657"/>
      <c r="O167" s="652"/>
      <c r="P167" s="652"/>
      <c r="Q167" s="652"/>
      <c r="R167" s="652"/>
      <c r="S167" s="652"/>
      <c r="T167" s="657"/>
      <c r="U167" s="657"/>
      <c r="V167" s="657"/>
      <c r="W167" s="652"/>
      <c r="X167" s="652"/>
      <c r="Y167" s="652"/>
      <c r="Z167" s="652"/>
      <c r="AA167" s="652"/>
      <c r="AB167" s="652"/>
      <c r="AC167" s="652"/>
      <c r="AD167" s="652"/>
      <c r="AE167" s="652"/>
      <c r="AF167" s="652"/>
      <c r="AG167" s="652"/>
      <c r="AH167" s="652"/>
      <c r="AI167" s="652"/>
      <c r="AJ167" s="652"/>
      <c r="AK167" s="652"/>
      <c r="AL167" s="652"/>
      <c r="AM167" s="652"/>
    </row>
    <row r="168" spans="1:39" hidden="1" x14ac:dyDescent="0.2">
      <c r="A168" s="652"/>
      <c r="B168" s="652"/>
      <c r="C168" s="652"/>
      <c r="D168" s="652"/>
      <c r="E168" s="652"/>
      <c r="F168" s="652"/>
      <c r="G168" s="652"/>
      <c r="H168" s="652"/>
      <c r="I168" s="652"/>
      <c r="J168" s="652"/>
      <c r="K168" s="652"/>
      <c r="L168" s="657"/>
      <c r="M168" s="657"/>
      <c r="N168" s="657"/>
      <c r="O168" s="652"/>
      <c r="P168" s="652"/>
      <c r="Q168" s="652"/>
      <c r="R168" s="652"/>
      <c r="S168" s="652"/>
      <c r="T168" s="657"/>
      <c r="U168" s="657"/>
      <c r="V168" s="657"/>
      <c r="W168" s="652"/>
      <c r="X168" s="652"/>
      <c r="Y168" s="652"/>
      <c r="Z168" s="652"/>
      <c r="AA168" s="652"/>
      <c r="AB168" s="652"/>
      <c r="AC168" s="652"/>
      <c r="AD168" s="652"/>
      <c r="AE168" s="652"/>
      <c r="AF168" s="652"/>
      <c r="AG168" s="652"/>
      <c r="AH168" s="652"/>
      <c r="AI168" s="652"/>
      <c r="AJ168" s="652"/>
      <c r="AK168" s="652"/>
      <c r="AL168" s="652"/>
      <c r="AM168" s="652"/>
    </row>
    <row r="169" spans="1:39" hidden="1" x14ac:dyDescent="0.2">
      <c r="A169" s="652"/>
      <c r="B169" s="652"/>
      <c r="C169" s="652"/>
      <c r="D169" s="652"/>
      <c r="E169" s="652"/>
      <c r="F169" s="652"/>
      <c r="G169" s="652"/>
      <c r="H169" s="652"/>
      <c r="I169" s="652"/>
      <c r="J169" s="652"/>
      <c r="K169" s="652"/>
      <c r="L169" s="657"/>
      <c r="M169" s="657"/>
      <c r="N169" s="657"/>
      <c r="O169" s="652"/>
      <c r="P169" s="652"/>
      <c r="Q169" s="652"/>
      <c r="R169" s="652"/>
      <c r="S169" s="652"/>
      <c r="T169" s="657"/>
      <c r="U169" s="657"/>
      <c r="V169" s="657"/>
      <c r="W169" s="652"/>
      <c r="X169" s="652"/>
      <c r="Y169" s="652"/>
      <c r="Z169" s="652"/>
      <c r="AA169" s="652"/>
      <c r="AB169" s="652"/>
      <c r="AC169" s="652"/>
      <c r="AD169" s="652"/>
      <c r="AE169" s="652"/>
      <c r="AF169" s="652"/>
      <c r="AG169" s="652"/>
      <c r="AH169" s="652"/>
      <c r="AI169" s="652"/>
      <c r="AJ169" s="652"/>
      <c r="AK169" s="652"/>
      <c r="AL169" s="652"/>
      <c r="AM169" s="652"/>
    </row>
    <row r="170" spans="1:39" hidden="1" x14ac:dyDescent="0.2">
      <c r="A170" s="652"/>
      <c r="B170" s="652"/>
      <c r="C170" s="652"/>
      <c r="D170" s="652"/>
      <c r="E170" s="652"/>
      <c r="F170" s="652"/>
      <c r="G170" s="652"/>
      <c r="H170" s="652"/>
      <c r="I170" s="652"/>
      <c r="J170" s="652"/>
      <c r="K170" s="652"/>
      <c r="L170" s="657"/>
      <c r="M170" s="657"/>
      <c r="N170" s="657"/>
      <c r="O170" s="652"/>
      <c r="P170" s="652"/>
      <c r="Q170" s="652"/>
      <c r="R170" s="652"/>
      <c r="S170" s="652"/>
      <c r="T170" s="657"/>
      <c r="U170" s="657"/>
      <c r="V170" s="657"/>
      <c r="W170" s="652"/>
      <c r="X170" s="652"/>
      <c r="Y170" s="652"/>
      <c r="Z170" s="652"/>
      <c r="AA170" s="652"/>
      <c r="AB170" s="652"/>
      <c r="AC170" s="652"/>
      <c r="AD170" s="652"/>
      <c r="AE170" s="652"/>
      <c r="AF170" s="652"/>
      <c r="AG170" s="652"/>
      <c r="AH170" s="652"/>
      <c r="AI170" s="652"/>
      <c r="AJ170" s="652"/>
      <c r="AK170" s="652"/>
      <c r="AL170" s="652"/>
      <c r="AM170" s="652"/>
    </row>
    <row r="171" spans="1:39" hidden="1" x14ac:dyDescent="0.2">
      <c r="A171" s="652"/>
      <c r="B171" s="652"/>
      <c r="C171" s="652"/>
      <c r="D171" s="652"/>
      <c r="E171" s="652"/>
      <c r="F171" s="652"/>
      <c r="G171" s="652"/>
      <c r="H171" s="652"/>
      <c r="I171" s="652"/>
      <c r="J171" s="652"/>
      <c r="K171" s="652"/>
      <c r="L171" s="657"/>
      <c r="M171" s="657"/>
      <c r="N171" s="657"/>
      <c r="O171" s="652"/>
      <c r="P171" s="652"/>
      <c r="Q171" s="652"/>
      <c r="R171" s="652"/>
      <c r="S171" s="652"/>
      <c r="T171" s="657"/>
      <c r="U171" s="657"/>
      <c r="V171" s="657"/>
      <c r="W171" s="652"/>
      <c r="X171" s="652"/>
      <c r="Y171" s="652"/>
      <c r="Z171" s="652"/>
      <c r="AA171" s="652"/>
      <c r="AB171" s="652"/>
      <c r="AC171" s="652"/>
      <c r="AD171" s="652"/>
      <c r="AE171" s="652"/>
      <c r="AF171" s="652"/>
      <c r="AG171" s="652"/>
      <c r="AH171" s="652"/>
      <c r="AI171" s="652"/>
      <c r="AJ171" s="652"/>
      <c r="AK171" s="652"/>
      <c r="AL171" s="652"/>
      <c r="AM171" s="652"/>
    </row>
    <row r="172" spans="1:39" hidden="1" x14ac:dyDescent="0.2">
      <c r="A172" s="652"/>
      <c r="B172" s="652"/>
      <c r="C172" s="652"/>
      <c r="D172" s="652"/>
      <c r="E172" s="652"/>
      <c r="F172" s="652"/>
      <c r="G172" s="652"/>
      <c r="H172" s="652"/>
      <c r="I172" s="652"/>
      <c r="J172" s="652"/>
      <c r="K172" s="652"/>
      <c r="L172" s="657"/>
      <c r="M172" s="657"/>
      <c r="N172" s="657"/>
      <c r="O172" s="652"/>
      <c r="P172" s="652"/>
      <c r="Q172" s="652"/>
      <c r="R172" s="652"/>
      <c r="S172" s="652"/>
      <c r="T172" s="657"/>
      <c r="U172" s="657"/>
      <c r="V172" s="657"/>
      <c r="W172" s="652"/>
      <c r="X172" s="652"/>
      <c r="Y172" s="652"/>
      <c r="Z172" s="652"/>
      <c r="AA172" s="652"/>
      <c r="AB172" s="652"/>
      <c r="AC172" s="652"/>
      <c r="AD172" s="652"/>
      <c r="AE172" s="652"/>
      <c r="AF172" s="652"/>
      <c r="AG172" s="652"/>
      <c r="AH172" s="652"/>
      <c r="AI172" s="652"/>
      <c r="AJ172" s="652"/>
      <c r="AK172" s="652"/>
      <c r="AL172" s="652"/>
      <c r="AM172" s="652"/>
    </row>
    <row r="173" spans="1:39" hidden="1" x14ac:dyDescent="0.2">
      <c r="A173" s="652"/>
      <c r="B173" s="652"/>
      <c r="C173" s="652"/>
      <c r="D173" s="652"/>
      <c r="E173" s="652"/>
      <c r="F173" s="652"/>
      <c r="G173" s="652"/>
      <c r="H173" s="652"/>
      <c r="I173" s="652"/>
      <c r="J173" s="652"/>
      <c r="K173" s="652"/>
      <c r="L173" s="657"/>
      <c r="M173" s="657"/>
      <c r="N173" s="657"/>
      <c r="O173" s="652"/>
      <c r="P173" s="652"/>
      <c r="Q173" s="652"/>
      <c r="R173" s="652"/>
      <c r="S173" s="652"/>
      <c r="T173" s="657"/>
      <c r="U173" s="657"/>
      <c r="V173" s="657"/>
      <c r="W173" s="652"/>
      <c r="X173" s="652"/>
      <c r="Y173" s="652"/>
      <c r="Z173" s="652"/>
      <c r="AA173" s="652"/>
      <c r="AB173" s="652"/>
      <c r="AC173" s="652"/>
      <c r="AD173" s="652"/>
      <c r="AE173" s="652"/>
      <c r="AF173" s="652"/>
      <c r="AG173" s="652"/>
      <c r="AH173" s="652"/>
      <c r="AI173" s="652"/>
      <c r="AJ173" s="652"/>
      <c r="AK173" s="652"/>
      <c r="AL173" s="652"/>
      <c r="AM173" s="652"/>
    </row>
    <row r="174" spans="1:39"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652"/>
      <c r="AF174" s="652"/>
      <c r="AG174" s="652"/>
      <c r="AH174" s="652"/>
      <c r="AI174" s="652"/>
      <c r="AJ174" s="652"/>
      <c r="AK174" s="652"/>
      <c r="AL174" s="652"/>
      <c r="AM174" s="652"/>
    </row>
    <row r="175" spans="1:39"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652"/>
      <c r="AF175" s="652"/>
      <c r="AG175" s="652"/>
      <c r="AH175" s="652"/>
      <c r="AI175" s="652"/>
      <c r="AJ175" s="652"/>
      <c r="AK175" s="652"/>
      <c r="AL175" s="652"/>
      <c r="AM175" s="652"/>
    </row>
    <row r="176" spans="1:39"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c r="AI284" s="652"/>
      <c r="AJ284" s="652"/>
      <c r="AK284" s="652"/>
      <c r="AL284" s="652"/>
      <c r="AM284" s="652"/>
    </row>
    <row r="285" spans="1:39"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c r="AH285" s="652"/>
      <c r="AI285" s="652"/>
      <c r="AJ285" s="652"/>
      <c r="AK285" s="652"/>
      <c r="AL285" s="652"/>
      <c r="AM285" s="652"/>
    </row>
    <row r="286" spans="1:39" hidden="1" x14ac:dyDescent="0.2">
      <c r="A286" s="652"/>
      <c r="B286" s="652"/>
      <c r="C286" s="652"/>
      <c r="D286" s="652"/>
      <c r="E286" s="652"/>
      <c r="F286" s="652"/>
      <c r="G286" s="652"/>
      <c r="H286" s="652"/>
      <c r="I286" s="652"/>
      <c r="J286" s="652"/>
      <c r="K286" s="652"/>
      <c r="L286" s="657"/>
      <c r="M286" s="657"/>
      <c r="N286" s="657"/>
      <c r="O286" s="652"/>
      <c r="P286" s="652"/>
      <c r="Q286" s="652"/>
      <c r="R286" s="652"/>
      <c r="S286" s="652"/>
      <c r="T286" s="657"/>
      <c r="U286" s="657"/>
      <c r="V286" s="657"/>
      <c r="W286" s="652"/>
      <c r="X286" s="652"/>
      <c r="Y286" s="652"/>
      <c r="Z286" s="652"/>
      <c r="AA286" s="652"/>
      <c r="AB286" s="652"/>
      <c r="AC286" s="652"/>
      <c r="AD286" s="652"/>
      <c r="AE286" s="652"/>
      <c r="AF286" s="652"/>
      <c r="AG286" s="652"/>
      <c r="AH286" s="652"/>
      <c r="AI286" s="652"/>
      <c r="AJ286" s="652"/>
      <c r="AK286" s="652"/>
      <c r="AL286" s="652"/>
      <c r="AM286" s="652"/>
    </row>
    <row r="287" spans="1:39" hidden="1" x14ac:dyDescent="0.2">
      <c r="D287" s="698"/>
      <c r="E287" s="698"/>
      <c r="F287" s="652"/>
      <c r="G287" s="652"/>
      <c r="H287" s="652"/>
      <c r="I287" s="652"/>
      <c r="J287" s="652"/>
      <c r="K287" s="652"/>
      <c r="L287" s="652"/>
      <c r="M287" s="652"/>
      <c r="N287" s="652"/>
      <c r="O287" s="652"/>
      <c r="P287" s="652"/>
      <c r="Q287" s="652"/>
      <c r="R287" s="652"/>
      <c r="S287" s="652"/>
      <c r="T287" s="652"/>
      <c r="U287" s="652"/>
      <c r="V287" s="652"/>
      <c r="W287" s="652"/>
      <c r="X287" s="652"/>
      <c r="Y287" s="652"/>
      <c r="Z287" s="652"/>
      <c r="AA287" s="652"/>
      <c r="AB287" s="652"/>
      <c r="AC287" s="652"/>
      <c r="AD287" s="652"/>
      <c r="AE287" s="652"/>
      <c r="AF287" s="652"/>
      <c r="AG287" s="652"/>
      <c r="AH287" s="652"/>
      <c r="AI287" s="652"/>
      <c r="AJ287" s="652"/>
      <c r="AK287" s="652"/>
      <c r="AL287" s="652"/>
      <c r="AM287" s="652"/>
    </row>
    <row r="288" spans="1:39" hidden="1" x14ac:dyDescent="0.2">
      <c r="D288" s="702"/>
      <c r="E288" s="702"/>
      <c r="F288" s="652"/>
      <c r="G288" s="652"/>
      <c r="H288" s="652"/>
      <c r="I288" s="652"/>
      <c r="J288" s="652"/>
      <c r="K288" s="652"/>
      <c r="L288" s="652"/>
      <c r="M288" s="652"/>
      <c r="N288" s="652"/>
      <c r="O288" s="652"/>
      <c r="P288" s="652"/>
      <c r="Q288" s="652"/>
      <c r="R288" s="652"/>
      <c r="S288" s="652"/>
      <c r="T288" s="652"/>
      <c r="U288" s="652"/>
      <c r="V288" s="652"/>
      <c r="W288" s="652"/>
      <c r="X288" s="652"/>
      <c r="Y288" s="652"/>
      <c r="Z288" s="652"/>
      <c r="AA288" s="652"/>
      <c r="AB288" s="652"/>
      <c r="AC288" s="652"/>
      <c r="AD288" s="652"/>
      <c r="AE288" s="652"/>
      <c r="AF288" s="652"/>
      <c r="AG288" s="652"/>
      <c r="AH288" s="652"/>
      <c r="AI288" s="652"/>
      <c r="AJ288" s="652"/>
      <c r="AK288" s="652"/>
      <c r="AL288" s="652"/>
      <c r="AM288" s="652"/>
    </row>
    <row r="289" spans="1:39" hidden="1" x14ac:dyDescent="0.2">
      <c r="D289" s="653"/>
      <c r="E289" s="653"/>
      <c r="F289" s="652"/>
      <c r="G289" s="652"/>
      <c r="H289" s="652"/>
      <c r="I289" s="652"/>
      <c r="J289" s="652"/>
      <c r="K289" s="652"/>
      <c r="L289" s="652"/>
      <c r="M289" s="652"/>
      <c r="N289" s="652"/>
      <c r="O289" s="652"/>
      <c r="P289" s="652"/>
      <c r="Q289" s="652"/>
      <c r="R289" s="652"/>
      <c r="S289" s="652"/>
      <c r="T289" s="652"/>
      <c r="U289" s="652"/>
      <c r="V289" s="652"/>
      <c r="W289" s="703"/>
      <c r="X289" s="652"/>
      <c r="Y289" s="652"/>
      <c r="Z289" s="652"/>
      <c r="AA289" s="652"/>
      <c r="AB289" s="652"/>
      <c r="AC289" s="652"/>
      <c r="AD289" s="652"/>
      <c r="AE289" s="652"/>
      <c r="AF289" s="652"/>
      <c r="AG289" s="652"/>
      <c r="AH289" s="652"/>
      <c r="AI289" s="652"/>
      <c r="AJ289" s="652"/>
      <c r="AK289" s="652"/>
      <c r="AL289" s="652"/>
      <c r="AM289" s="652"/>
    </row>
    <row r="290" spans="1:39" hidden="1" x14ac:dyDescent="0.2">
      <c r="D290" s="653"/>
      <c r="E290" s="653"/>
      <c r="F290" s="65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c r="AI290" s="652"/>
      <c r="AJ290" s="652"/>
      <c r="AK290" s="652"/>
      <c r="AL290" s="652"/>
      <c r="AM290" s="652"/>
    </row>
    <row r="291" spans="1:39" hidden="1" x14ac:dyDescent="0.2">
      <c r="D291" s="653"/>
      <c r="E291" s="653"/>
      <c r="F291" s="652"/>
      <c r="G291" s="652"/>
      <c r="H291" s="652"/>
      <c r="I291" s="652"/>
      <c r="J291" s="652"/>
      <c r="K291" s="652"/>
      <c r="L291" s="652"/>
      <c r="M291" s="652"/>
      <c r="N291" s="652"/>
      <c r="O291" s="652"/>
      <c r="P291" s="652"/>
      <c r="Q291" s="652"/>
      <c r="R291" s="652"/>
      <c r="S291" s="652"/>
      <c r="T291" s="652"/>
      <c r="U291" s="652"/>
      <c r="V291" s="652"/>
      <c r="W291" s="652"/>
      <c r="X291" s="652"/>
      <c r="Y291" s="652"/>
      <c r="Z291" s="652"/>
      <c r="AA291" s="652"/>
      <c r="AB291" s="652"/>
      <c r="AC291" s="652"/>
      <c r="AD291" s="652"/>
      <c r="AE291" s="652"/>
      <c r="AF291" s="652"/>
      <c r="AG291" s="652"/>
      <c r="AH291" s="652"/>
      <c r="AI291" s="652"/>
      <c r="AJ291" s="652"/>
      <c r="AK291" s="652"/>
      <c r="AL291" s="652"/>
      <c r="AM291" s="652"/>
    </row>
    <row r="292" spans="1:39" hidden="1" x14ac:dyDescent="0.2">
      <c r="D292" s="653"/>
      <c r="E292" s="653"/>
      <c r="F292" s="65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652"/>
      <c r="AF292" s="652"/>
      <c r="AG292" s="652"/>
      <c r="AH292" s="652"/>
      <c r="AI292" s="652"/>
      <c r="AJ292" s="652"/>
      <c r="AK292" s="652"/>
      <c r="AL292" s="652"/>
      <c r="AM292" s="652"/>
    </row>
    <row r="293" spans="1:39" hidden="1" x14ac:dyDescent="0.2">
      <c r="D293" s="653"/>
      <c r="E293" s="653"/>
      <c r="F293" s="65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652"/>
      <c r="AI293" s="652"/>
      <c r="AJ293" s="652"/>
      <c r="AK293" s="652"/>
      <c r="AL293" s="652"/>
      <c r="AM293" s="652"/>
    </row>
    <row r="294" spans="1:39" hidden="1" x14ac:dyDescent="0.2">
      <c r="D294" s="653"/>
      <c r="E294" s="653"/>
      <c r="F294" s="652"/>
      <c r="G294" s="652"/>
      <c r="H294" s="652"/>
      <c r="I294" s="652"/>
      <c r="J294" s="652"/>
      <c r="K294" s="652"/>
      <c r="L294" s="652"/>
      <c r="M294" s="652"/>
      <c r="N294" s="652"/>
      <c r="O294" s="652"/>
      <c r="P294" s="652"/>
      <c r="Q294" s="652"/>
      <c r="R294" s="652"/>
      <c r="S294" s="652"/>
      <c r="T294" s="652"/>
      <c r="U294" s="652"/>
      <c r="V294" s="652"/>
      <c r="W294" s="703"/>
      <c r="X294" s="652"/>
      <c r="Y294" s="652"/>
      <c r="Z294" s="652"/>
      <c r="AA294" s="652"/>
      <c r="AB294" s="652"/>
      <c r="AC294" s="652"/>
      <c r="AD294" s="652"/>
      <c r="AE294" s="652"/>
      <c r="AF294" s="652"/>
      <c r="AG294" s="652"/>
      <c r="AH294" s="652"/>
      <c r="AI294" s="652"/>
      <c r="AJ294" s="652"/>
      <c r="AK294" s="652"/>
      <c r="AL294" s="652"/>
      <c r="AM294" s="652"/>
    </row>
    <row r="295" spans="1:39" hidden="1" x14ac:dyDescent="0.2">
      <c r="D295" s="653"/>
      <c r="E295" s="653"/>
      <c r="F295" s="652"/>
      <c r="G295" s="652"/>
      <c r="H295" s="652"/>
      <c r="I295" s="65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652"/>
      <c r="AF295" s="652"/>
      <c r="AG295" s="652"/>
      <c r="AH295" s="652"/>
      <c r="AI295" s="652"/>
      <c r="AJ295" s="652"/>
      <c r="AK295" s="652"/>
      <c r="AL295" s="652"/>
      <c r="AM295" s="652"/>
    </row>
    <row r="296" spans="1:39" hidden="1" x14ac:dyDescent="0.2">
      <c r="D296" s="653"/>
      <c r="E296" s="653"/>
      <c r="F296" s="652"/>
      <c r="G296" s="652"/>
      <c r="H296" s="652"/>
      <c r="I296" s="652"/>
      <c r="J296" s="652"/>
      <c r="K296" s="652"/>
      <c r="L296" s="652"/>
      <c r="M296" s="652"/>
      <c r="N296" s="652"/>
      <c r="O296" s="652"/>
      <c r="P296" s="652"/>
      <c r="Q296" s="652"/>
      <c r="R296" s="652"/>
      <c r="S296" s="652"/>
      <c r="T296" s="652"/>
      <c r="U296" s="652"/>
      <c r="V296" s="652"/>
      <c r="W296" s="652"/>
      <c r="X296" s="652"/>
      <c r="Y296" s="652"/>
      <c r="Z296" s="652"/>
      <c r="AA296" s="652"/>
      <c r="AB296" s="652"/>
      <c r="AC296" s="652"/>
      <c r="AD296" s="652"/>
      <c r="AE296" s="652"/>
      <c r="AF296" s="652"/>
      <c r="AG296" s="652"/>
      <c r="AH296" s="652"/>
      <c r="AI296" s="652"/>
      <c r="AJ296" s="652"/>
      <c r="AK296" s="652"/>
      <c r="AL296" s="652"/>
      <c r="AM296" s="652"/>
    </row>
    <row r="297" spans="1:39" hidden="1" x14ac:dyDescent="0.2">
      <c r="D297" s="653"/>
      <c r="E297" s="653"/>
      <c r="F297" s="65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652"/>
      <c r="AF297" s="652"/>
      <c r="AG297" s="652"/>
      <c r="AH297" s="652"/>
      <c r="AI297" s="652"/>
      <c r="AJ297" s="652"/>
      <c r="AK297" s="652"/>
      <c r="AL297" s="652"/>
      <c r="AM297" s="652"/>
    </row>
    <row r="298" spans="1:39" x14ac:dyDescent="0.2">
      <c r="D298" s="652"/>
      <c r="E298" s="652"/>
      <c r="F298" s="652"/>
      <c r="G298" s="652"/>
      <c r="H298" s="652"/>
      <c r="I298" s="652"/>
      <c r="J298" s="652"/>
      <c r="K298" s="652"/>
      <c r="L298" s="652"/>
      <c r="M298" s="652"/>
      <c r="N298" s="652"/>
      <c r="O298" s="652"/>
      <c r="P298" s="652"/>
      <c r="Q298" s="652"/>
      <c r="R298" s="652"/>
      <c r="S298" s="652"/>
      <c r="T298" s="652"/>
      <c r="U298" s="652"/>
      <c r="V298" s="652"/>
      <c r="W298" s="652"/>
      <c r="X298" s="652"/>
      <c r="Y298" s="652"/>
      <c r="Z298" s="652"/>
      <c r="AA298" s="652"/>
      <c r="AB298" s="652"/>
      <c r="AC298" s="652"/>
      <c r="AD298" s="652"/>
      <c r="AE298" s="652"/>
      <c r="AF298" s="652"/>
      <c r="AG298" s="652"/>
      <c r="AH298" s="652"/>
      <c r="AI298" s="652"/>
      <c r="AJ298" s="652"/>
      <c r="AK298" s="652"/>
      <c r="AL298" s="652"/>
      <c r="AM298" s="652"/>
    </row>
    <row r="299" spans="1:39" x14ac:dyDescent="0.2">
      <c r="A299" s="652"/>
      <c r="B299" s="652"/>
      <c r="C299" s="697" t="s">
        <v>182</v>
      </c>
      <c r="D299" s="652"/>
      <c r="E299" s="652"/>
      <c r="F299" s="652"/>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c r="AH299" s="652"/>
      <c r="AI299" s="652"/>
      <c r="AJ299" s="652"/>
      <c r="AK299" s="652"/>
      <c r="AL299" s="652"/>
      <c r="AM299" s="652"/>
    </row>
    <row r="300" spans="1:39" x14ac:dyDescent="0.2">
      <c r="A300" s="699">
        <v>1</v>
      </c>
      <c r="B300" s="700" t="str">
        <f t="shared" ref="B300:B311" si="10">IFERROR(INDEX(B$1:B$88,MATCH(A300,A$1:A$88,0)),"")</f>
        <v>Elmo Lageda, Tõnu Piik</v>
      </c>
      <c r="C300" s="701">
        <f t="shared" ref="C300:C311" si="11">IF(21-A300&gt;0,IF(OR(A300=A301,A299=A300),21-A300-0.5,21-A300),1)</f>
        <v>20</v>
      </c>
    </row>
    <row r="301" spans="1:39" x14ac:dyDescent="0.2">
      <c r="A301" s="699">
        <v>2</v>
      </c>
      <c r="B301" s="700" t="str">
        <f t="shared" si="10"/>
        <v>Aigi Orro, Johannes Neiland, Urmas Jõeäär</v>
      </c>
      <c r="C301" s="701">
        <f t="shared" si="11"/>
        <v>19</v>
      </c>
    </row>
    <row r="302" spans="1:39" x14ac:dyDescent="0.2">
      <c r="A302" s="699">
        <v>3</v>
      </c>
      <c r="B302" s="700" t="str">
        <f t="shared" si="10"/>
        <v>Andrei Grintšak, Boriss Klubov</v>
      </c>
      <c r="C302" s="701">
        <f t="shared" si="11"/>
        <v>18</v>
      </c>
    </row>
    <row r="303" spans="1:39" x14ac:dyDescent="0.2">
      <c r="A303" s="699">
        <v>4</v>
      </c>
      <c r="B303" s="700" t="str">
        <f t="shared" si="10"/>
        <v>Matti Vinni, Vello Vasser</v>
      </c>
      <c r="C303" s="701">
        <f t="shared" si="11"/>
        <v>17</v>
      </c>
    </row>
    <row r="304" spans="1:39" x14ac:dyDescent="0.2">
      <c r="A304" s="699">
        <v>5</v>
      </c>
      <c r="B304" s="700" t="str">
        <f t="shared" si="10"/>
        <v>Oksana Rõndenkova, Oleg Rõndenkov</v>
      </c>
      <c r="C304" s="701">
        <f t="shared" si="11"/>
        <v>16</v>
      </c>
    </row>
    <row r="305" spans="1:3" x14ac:dyDescent="0.2">
      <c r="A305" s="699">
        <v>6</v>
      </c>
      <c r="B305" s="700" t="str">
        <f t="shared" si="10"/>
        <v>Karla Purgats, Lemmit Toomra</v>
      </c>
      <c r="C305" s="701">
        <f t="shared" si="11"/>
        <v>15</v>
      </c>
    </row>
    <row r="306" spans="1:3" ht="25.5" x14ac:dyDescent="0.2">
      <c r="A306" s="699">
        <v>7</v>
      </c>
      <c r="B306" s="700" t="str">
        <f t="shared" si="10"/>
        <v>Kenneth Muusikus, Sandra Laura Nõmmeloo</v>
      </c>
      <c r="C306" s="701">
        <f t="shared" si="11"/>
        <v>14</v>
      </c>
    </row>
    <row r="307" spans="1:3" x14ac:dyDescent="0.2">
      <c r="A307" s="699">
        <v>8</v>
      </c>
      <c r="B307" s="700" t="str">
        <f t="shared" si="10"/>
        <v>Andres Veski, Svetlana Veski</v>
      </c>
      <c r="C307" s="701">
        <f t="shared" si="11"/>
        <v>13</v>
      </c>
    </row>
    <row r="308" spans="1:3" x14ac:dyDescent="0.2">
      <c r="A308" s="699">
        <v>9</v>
      </c>
      <c r="B308" s="700" t="str">
        <f t="shared" si="10"/>
        <v>Henri Mitt, Urmas Randlaine</v>
      </c>
      <c r="C308" s="701">
        <f t="shared" si="11"/>
        <v>12</v>
      </c>
    </row>
    <row r="309" spans="1:3" x14ac:dyDescent="0.2">
      <c r="A309" s="699">
        <v>10</v>
      </c>
      <c r="B309" s="700" t="str">
        <f t="shared" si="10"/>
        <v>Kaspar Mänd, Tõnis Anton</v>
      </c>
      <c r="C309" s="701">
        <f t="shared" si="11"/>
        <v>11</v>
      </c>
    </row>
    <row r="310" spans="1:3" x14ac:dyDescent="0.2">
      <c r="A310" s="699">
        <v>11</v>
      </c>
      <c r="B310" s="700" t="str">
        <f t="shared" si="10"/>
        <v>Jaan Saar, Liidia Põllu, Vladimir Mihhailov</v>
      </c>
      <c r="C310" s="701">
        <f t="shared" si="11"/>
        <v>10</v>
      </c>
    </row>
    <row r="311" spans="1:3" x14ac:dyDescent="0.2">
      <c r="A311" s="699">
        <v>12</v>
      </c>
      <c r="B311" s="700" t="str">
        <f t="shared" si="10"/>
        <v>Illar Tõnurist, Peeter Rjabov</v>
      </c>
      <c r="C311" s="701">
        <f t="shared" si="11"/>
        <v>9</v>
      </c>
    </row>
  </sheetData>
  <conditionalFormatting sqref="C8:C19">
    <cfRule type="expression" dxfId="271" priority="18">
      <formula>IF($C8&gt;$E8,TRUE)</formula>
    </cfRule>
  </conditionalFormatting>
  <conditionalFormatting sqref="E8:E19">
    <cfRule type="expression" dxfId="270" priority="19">
      <formula>IF($C8&lt;$E8,TRUE)</formula>
    </cfRule>
  </conditionalFormatting>
  <conditionalFormatting sqref="K8:K19">
    <cfRule type="expression" dxfId="269" priority="26">
      <formula>IF($K8&gt;$M8,TRUE)</formula>
    </cfRule>
  </conditionalFormatting>
  <conditionalFormatting sqref="M8:M19">
    <cfRule type="expression" dxfId="268" priority="27">
      <formula>IF($K8&lt;$M8,TRUE)</formula>
    </cfRule>
  </conditionalFormatting>
  <conditionalFormatting sqref="O8:O19">
    <cfRule type="expression" dxfId="267" priority="30">
      <formula>IF($O8&gt;$Q8,TRUE)</formula>
    </cfRule>
  </conditionalFormatting>
  <conditionalFormatting sqref="Q8:Q19">
    <cfRule type="expression" dxfId="266" priority="31">
      <formula>IF($O8&lt;$Q8,TRUE)</formula>
    </cfRule>
  </conditionalFormatting>
  <conditionalFormatting sqref="S8:S19">
    <cfRule type="expression" dxfId="265" priority="34">
      <formula>IF($S8&gt;$U8,TRUE)</formula>
    </cfRule>
  </conditionalFormatting>
  <conditionalFormatting sqref="U8:U19">
    <cfRule type="expression" dxfId="264" priority="35">
      <formula>IF($S8&lt;$U8,TRUE)</formula>
    </cfRule>
  </conditionalFormatting>
  <conditionalFormatting sqref="G8:G19">
    <cfRule type="expression" dxfId="263" priority="22">
      <formula>IF($G8&gt;$I8,TRUE)</formula>
    </cfRule>
  </conditionalFormatting>
  <conditionalFormatting sqref="I8:I19">
    <cfRule type="expression" dxfId="262" priority="23">
      <formula>IF($G8&lt;$I8,TRUE)</formula>
    </cfRule>
  </conditionalFormatting>
  <conditionalFormatting sqref="F8:F19">
    <cfRule type="containsText" dxfId="261" priority="9" operator="containsText" text="vaba voor">
      <formula>NOT(ISERROR(SEARCH("vaba voor",F8)))</formula>
    </cfRule>
  </conditionalFormatting>
  <conditionalFormatting sqref="N8:N19">
    <cfRule type="containsText" dxfId="260" priority="7" operator="containsText" text="vaba voor">
      <formula>NOT(ISERROR(SEARCH("vaba voor",N8)))</formula>
    </cfRule>
  </conditionalFormatting>
  <conditionalFormatting sqref="R8:R19">
    <cfRule type="containsText" dxfId="259" priority="10" operator="containsText" text="vaba voor">
      <formula>NOT(ISERROR(SEARCH("vaba voor",R8)))</formula>
    </cfRule>
  </conditionalFormatting>
  <conditionalFormatting sqref="V8:V19">
    <cfRule type="containsText" dxfId="258" priority="6" operator="containsText" text="vaba voor">
      <formula>NOT(ISERROR(SEARCH("vaba voor",V8)))</formula>
    </cfRule>
  </conditionalFormatting>
  <conditionalFormatting sqref="J8:J19">
    <cfRule type="containsText" dxfId="257" priority="8" operator="containsText" text="vaba voor">
      <formula>NOT(ISERROR(SEARCH("vaba voor",J8)))</formula>
    </cfRule>
  </conditionalFormatting>
  <conditionalFormatting sqref="C8:F19">
    <cfRule type="expression" dxfId="256" priority="14">
      <formula>IF(AND(ISNUMBER($C8),$C8=$E8),TRUE)</formula>
    </cfRule>
    <cfRule type="expression" dxfId="255" priority="16">
      <formula>IF($C8&gt;$E8,TRUE)</formula>
    </cfRule>
    <cfRule type="expression" dxfId="254" priority="17">
      <formula>IF($C8&lt;$E8,TRUE)</formula>
    </cfRule>
  </conditionalFormatting>
  <conditionalFormatting sqref="G8:J19">
    <cfRule type="expression" dxfId="253" priority="15">
      <formula>IF(AND(ISNUMBER($G8),$G8=$I8),TRUE)</formula>
    </cfRule>
    <cfRule type="expression" dxfId="252" priority="20">
      <formula>IF($G8&gt;$I8,TRUE)</formula>
    </cfRule>
    <cfRule type="expression" dxfId="251" priority="21">
      <formula>IF($G8&lt;$I8,TRUE)</formula>
    </cfRule>
  </conditionalFormatting>
  <conditionalFormatting sqref="K8:N19">
    <cfRule type="expression" dxfId="250" priority="13">
      <formula>IF(AND(ISNUMBER($K8),$K8=$M8),TRUE)</formula>
    </cfRule>
    <cfRule type="expression" dxfId="249" priority="24">
      <formula>IF($K8&gt;$M8,TRUE)</formula>
    </cfRule>
    <cfRule type="expression" dxfId="248" priority="25">
      <formula>IF($K8&lt;$M8,TRUE)</formula>
    </cfRule>
  </conditionalFormatting>
  <conditionalFormatting sqref="O8:R19">
    <cfRule type="expression" dxfId="247" priority="12">
      <formula>IF(AND(ISNUMBER($O8),$O8=$Q8),TRUE)</formula>
    </cfRule>
    <cfRule type="expression" dxfId="246" priority="28">
      <formula>IF($O8&gt;$Q8,TRUE)</formula>
    </cfRule>
    <cfRule type="expression" dxfId="245" priority="29">
      <formula>IF($O8&lt;$Q8,TRUE)</formula>
    </cfRule>
  </conditionalFormatting>
  <conditionalFormatting sqref="S8:V19">
    <cfRule type="expression" dxfId="244" priority="11">
      <formula>IF(AND(ISNUMBER($S8),$S8=$U8),TRUE)</formula>
    </cfRule>
    <cfRule type="expression" dxfId="243" priority="32">
      <formula>IF($S8&gt;$U8,TRUE)</formula>
    </cfRule>
    <cfRule type="expression" dxfId="242" priority="33">
      <formula>IF($S8&lt;$U8,TRUE)</formula>
    </cfRule>
  </conditionalFormatting>
  <conditionalFormatting sqref="C8:C19 G8:G19 K8:K19 O8:O19 S8:S19">
    <cfRule type="expression" dxfId="241" priority="4">
      <formula>AND(C8=0,E8=13)</formula>
    </cfRule>
  </conditionalFormatting>
  <conditionalFormatting sqref="E8:E19 I8:I19 M8:M19 Q8:Q19 U8:U19">
    <cfRule type="expression" dxfId="240" priority="5">
      <formula>AND(E8=0,C8=13)</formula>
    </cfRule>
  </conditionalFormatting>
  <conditionalFormatting sqref="AF8:AF19 AJ8:AJ19 AL8:AL19">
    <cfRule type="expression" dxfId="239" priority="1">
      <formula>AND(AE8="",COUNTIF(AF8,"*,*")=0)</formula>
    </cfRule>
  </conditionalFormatting>
  <conditionalFormatting sqref="AH8:AH19">
    <cfRule type="expression" dxfId="238" priority="2">
      <formula>AND(AG8="",FIND(",",AH8))</formula>
    </cfRule>
    <cfRule type="expression" dxfId="237" priority="3">
      <formula>AND(AG8="",COUNTIF(AH8,"*,*")=0)</formula>
    </cfRule>
  </conditionalFormatting>
  <conditionalFormatting sqref="A300:A311">
    <cfRule type="duplicateValues" dxfId="236" priority="106"/>
  </conditionalFormatting>
  <conditionalFormatting sqref="A8:A19">
    <cfRule type="duplicateValues" dxfId="235" priority="126"/>
  </conditionalFormatting>
  <conditionalFormatting sqref="B300:B311">
    <cfRule type="expression" dxfId="234" priority="144">
      <formula>A300=3</formula>
    </cfRule>
    <cfRule type="expression" dxfId="233" priority="145">
      <formula>A300=2</formula>
    </cfRule>
    <cfRule type="expression" dxfId="232" priority="146">
      <formula>A300=1</formula>
    </cfRule>
    <cfRule type="containsBlanks" dxfId="231" priority="147">
      <formula>LEN(TRIM(B300))=0</formula>
    </cfRule>
    <cfRule type="duplicateValues" dxfId="230" priority="148"/>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M309"/>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33.2851562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8.28515625" hidden="1" customWidth="1"/>
    <col min="33" max="33" width="9.140625" hidden="1" customWidth="1"/>
    <col min="34" max="34" width="15.28515625" hidden="1" customWidth="1"/>
    <col min="35" max="35" width="9.140625" hidden="1" customWidth="1"/>
    <col min="36" max="36" width="17.28515625" hidden="1" customWidth="1"/>
    <col min="37" max="37" width="9.140625" hidden="1" customWidth="1"/>
    <col min="38" max="38" width="13.85546875" hidden="1" customWidth="1"/>
  </cols>
  <sheetData>
    <row r="1" spans="1:39" x14ac:dyDescent="0.2">
      <c r="A1" s="742" t="str">
        <f>UPPER((Kalend!E40)&amp;" - "&amp;(Kalend!C40)&amp;" - "&amp;(Kalend!D40))</f>
        <v>V9 - VOKA 6. KV 9. ETAPP - DUO</v>
      </c>
      <c r="B1" s="652"/>
      <c r="C1" s="653"/>
      <c r="D1" s="652"/>
      <c r="E1" s="652"/>
      <c r="F1" s="410" t="str">
        <f>HYPERLINK("#Kalend!I1","Kalender")</f>
        <v>Kalender</v>
      </c>
      <c r="G1" s="410"/>
      <c r="H1" s="410"/>
      <c r="I1" s="410"/>
      <c r="J1" s="654" t="str">
        <f>HYPERLINK("#V!AB1","Reiting")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tr">
        <f>"Toimumisaeg: "&amp;(Kalend!A40)&amp;" kell "&amp;(Kalend!B40)</f>
        <v>Toimumisaeg: K, 04.09.2019 kell 18:00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2"/>
      <c r="AE2" s="652"/>
      <c r="AF2" s="652"/>
      <c r="AG2" s="652"/>
      <c r="AH2" s="652"/>
      <c r="AI2" s="652"/>
      <c r="AJ2" s="652"/>
      <c r="AK2" s="652"/>
      <c r="AL2" s="652"/>
      <c r="AM2" s="652"/>
    </row>
    <row r="3" spans="1:39" x14ac:dyDescent="0.2">
      <c r="A3" s="659" t="str">
        <f>"Toimumiskoht: "&amp;(Kalend!F40)</f>
        <v>Toimumiskoht: Voka staadion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tr">
        <f>"Korraldaja: "&amp;(Kalend!G40)</f>
        <v>Korraldaja: Johannes Neiland</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x14ac:dyDescent="0.2">
      <c r="A8" s="685">
        <v>1</v>
      </c>
      <c r="B8" s="686" t="s">
        <v>429</v>
      </c>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708">
        <f t="shared" ref="AD8" si="0">SUM(AE8:AL8)</f>
        <v>189</v>
      </c>
      <c r="AE8" s="709">
        <f>IFERROR(INDEX(V!R$7:R$62,MATCH(AF8,V!L$7:L$62,0)),"")</f>
        <v>135</v>
      </c>
      <c r="AF8" s="710" t="str">
        <f t="shared" ref="AF8:AF17" si="1">IFERROR(LEFT(B8,(FIND(",",B8,1)-1)),"")</f>
        <v>Kenneth Muusikus</v>
      </c>
      <c r="AG8" s="709">
        <f>IFERROR(INDEX(V!R$7:R$62,MATCH(AH8,V!L$7:L$62,0)),"")</f>
        <v>54</v>
      </c>
      <c r="AH8" s="710" t="str">
        <f t="shared" ref="AH8:AH17" si="2">IFERROR(MID(B8,FIND(", ",B8)+2,256),"")</f>
        <v>Urmas Jõeäär</v>
      </c>
      <c r="AI8" s="709" t="str">
        <f>IFERROR(INDEX(V!R$7:R$62,MATCH(AJ8,V!L$7:L$62,0)),"")</f>
        <v/>
      </c>
      <c r="AJ8" s="710" t="str">
        <f t="shared" ref="AJ8:AJ17" si="3">IFERROR(MID(B8,FIND("^",SUBSTITUTE(B8,", ","^",1))+2,FIND("^",SUBSTITUTE(B8,", ","^",2))-FIND("^",SUBSTITUTE(B8,", ","^",1))-2),"")</f>
        <v/>
      </c>
      <c r="AK8" s="709" t="str">
        <f>IFERROR(INDEX(V!R$7:R$62,MATCH(AL8,V!L$7:L$62,0)),"")</f>
        <v/>
      </c>
      <c r="AL8" s="710" t="str">
        <f t="shared" ref="AL8:AL17" si="4">IFERROR(MID(B8,FIND(", ",B8,FIND(", ",B8,FIND(", ",B8))+1)+2,700),"")</f>
        <v/>
      </c>
      <c r="AM8" s="652"/>
    </row>
    <row r="9" spans="1:39" x14ac:dyDescent="0.2">
      <c r="A9" s="685">
        <v>2</v>
      </c>
      <c r="B9" s="686" t="s">
        <v>396</v>
      </c>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17" si="5">IF(C9&gt;E9,J$3,IF(C9&lt;E9,J$5,IF(ISNUMBER(C9),J$4,0)))+IF(G9&gt;I9,J$3,IF(G9&lt;I9,J$5,IF(ISNUMBER(G9),J$4,0)))+IF(K9&gt;M9,J$3,IF(K9&lt;M9,J$5,IF(ISNUMBER(K9),J$4,0)))+IF(O9&gt;Q9,J$3,IF(O9&lt;Q9,J$5,IF(ISNUMBER(O9),J$4,0)))+IF(S9&gt;U9,J$3,IF(S9&lt;U9,J$5,IF(ISNUMBER(S9),J$4,0)))</f>
        <v>0</v>
      </c>
      <c r="X9" s="692"/>
      <c r="Y9" s="687">
        <f t="shared" ref="Y9:Y17" si="6">C9+G9+K9+O9+S9</f>
        <v>0</v>
      </c>
      <c r="Z9" s="688" t="s">
        <v>377</v>
      </c>
      <c r="AA9" s="693">
        <f t="shared" ref="AA9:AA17" si="7">E9+I9+M9+Q9+U9</f>
        <v>0</v>
      </c>
      <c r="AB9" s="694">
        <f t="shared" ref="AB9:AB17" si="8">Y9-AA9</f>
        <v>0</v>
      </c>
      <c r="AC9" s="695"/>
      <c r="AD9" s="708">
        <f t="shared" ref="AD9:AD17" si="9">SUM(AE9:AL9)</f>
        <v>112</v>
      </c>
      <c r="AE9" s="709">
        <f>IFERROR(INDEX(V!R$7:R$62,MATCH(AF9,V!L$7:L$62,0)),"")</f>
        <v>66</v>
      </c>
      <c r="AF9" s="710" t="str">
        <f t="shared" si="1"/>
        <v>Jaan Sepp</v>
      </c>
      <c r="AG9" s="709">
        <f>IFERROR(INDEX(V!R$7:R$62,MATCH(AH9,V!L$7:L$62,0)),"")</f>
        <v>46</v>
      </c>
      <c r="AH9" s="710" t="str">
        <f t="shared" si="2"/>
        <v>Oskar Sepp</v>
      </c>
      <c r="AI9" s="709" t="str">
        <f>IFERROR(INDEX(V!R$7:R$62,MATCH(AJ9,V!L$7:L$62,0)),"")</f>
        <v/>
      </c>
      <c r="AJ9" s="710" t="str">
        <f t="shared" si="3"/>
        <v/>
      </c>
      <c r="AK9" s="709" t="str">
        <f>IFERROR(INDEX(V!R$7:R$62,MATCH(AL9,V!L$7:L$62,0)),"")</f>
        <v/>
      </c>
      <c r="AL9" s="710" t="str">
        <f t="shared" si="4"/>
        <v/>
      </c>
      <c r="AM9" s="652"/>
    </row>
    <row r="10" spans="1:39" x14ac:dyDescent="0.2">
      <c r="A10" s="685">
        <v>3</v>
      </c>
      <c r="B10" s="686" t="s">
        <v>383</v>
      </c>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5"/>
        <v>0</v>
      </c>
      <c r="X10" s="692"/>
      <c r="Y10" s="687">
        <f t="shared" si="6"/>
        <v>0</v>
      </c>
      <c r="Z10" s="688" t="s">
        <v>377</v>
      </c>
      <c r="AA10" s="693">
        <f t="shared" si="7"/>
        <v>0</v>
      </c>
      <c r="AB10" s="694">
        <f t="shared" si="8"/>
        <v>0</v>
      </c>
      <c r="AC10" s="695"/>
      <c r="AD10" s="708">
        <f t="shared" si="9"/>
        <v>284</v>
      </c>
      <c r="AE10" s="709">
        <f>IFERROR(INDEX(V!R$7:R$62,MATCH(AF10,V!L$7:L$62,0)),"")</f>
        <v>142</v>
      </c>
      <c r="AF10" s="710" t="str">
        <f t="shared" si="1"/>
        <v>Elmo Lageda</v>
      </c>
      <c r="AG10" s="709">
        <f>IFERROR(INDEX(V!R$7:R$62,MATCH(AH10,V!L$7:L$62,0)),"")</f>
        <v>142</v>
      </c>
      <c r="AH10" s="710" t="str">
        <f t="shared" si="2"/>
        <v>Tõnu Piik</v>
      </c>
      <c r="AI10" s="709" t="str">
        <f>IFERROR(INDEX(V!R$7:R$62,MATCH(AJ10,V!L$7:L$62,0)),"")</f>
        <v/>
      </c>
      <c r="AJ10" s="710" t="str">
        <f t="shared" si="3"/>
        <v/>
      </c>
      <c r="AK10" s="709" t="str">
        <f>IFERROR(INDEX(V!R$7:R$62,MATCH(AL10,V!L$7:L$62,0)),"")</f>
        <v/>
      </c>
      <c r="AL10" s="710" t="str">
        <f t="shared" si="4"/>
        <v/>
      </c>
      <c r="AM10" s="652"/>
    </row>
    <row r="11" spans="1:39" x14ac:dyDescent="0.2">
      <c r="A11" s="685">
        <v>4</v>
      </c>
      <c r="B11" s="686" t="s">
        <v>391</v>
      </c>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5"/>
        <v>0</v>
      </c>
      <c r="X11" s="692"/>
      <c r="Y11" s="687">
        <f t="shared" si="6"/>
        <v>0</v>
      </c>
      <c r="Z11" s="688" t="s">
        <v>377</v>
      </c>
      <c r="AA11" s="693">
        <f t="shared" si="7"/>
        <v>0</v>
      </c>
      <c r="AB11" s="694">
        <f t="shared" si="8"/>
        <v>0</v>
      </c>
      <c r="AC11" s="695"/>
      <c r="AD11" s="708">
        <f t="shared" si="9"/>
        <v>334</v>
      </c>
      <c r="AE11" s="709">
        <f>IFERROR(INDEX(V!R$7:R$62,MATCH(AF11,V!L$7:L$62,0)),"")</f>
        <v>165</v>
      </c>
      <c r="AF11" s="710" t="str">
        <f t="shared" si="1"/>
        <v>Oksana Rõndenkova</v>
      </c>
      <c r="AG11" s="709">
        <f>IFERROR(INDEX(V!R$7:R$62,MATCH(AH11,V!L$7:L$62,0)),"")</f>
        <v>169</v>
      </c>
      <c r="AH11" s="710" t="str">
        <f t="shared" si="2"/>
        <v>Oleg Rõndenkov</v>
      </c>
      <c r="AI11" s="709" t="str">
        <f>IFERROR(INDEX(V!R$7:R$62,MATCH(AJ11,V!L$7:L$62,0)),"")</f>
        <v/>
      </c>
      <c r="AJ11" s="710" t="str">
        <f t="shared" si="3"/>
        <v/>
      </c>
      <c r="AK11" s="709" t="str">
        <f>IFERROR(INDEX(V!R$7:R$62,MATCH(AL11,V!L$7:L$62,0)),"")</f>
        <v/>
      </c>
      <c r="AL11" s="710" t="str">
        <f t="shared" si="4"/>
        <v/>
      </c>
      <c r="AM11" s="652"/>
    </row>
    <row r="12" spans="1:39" x14ac:dyDescent="0.2">
      <c r="A12" s="685">
        <v>5</v>
      </c>
      <c r="B12" s="686" t="s">
        <v>430</v>
      </c>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5"/>
        <v>0</v>
      </c>
      <c r="X12" s="692"/>
      <c r="Y12" s="687">
        <f t="shared" si="6"/>
        <v>0</v>
      </c>
      <c r="Z12" s="688" t="s">
        <v>377</v>
      </c>
      <c r="AA12" s="693">
        <f t="shared" si="7"/>
        <v>0</v>
      </c>
      <c r="AB12" s="694">
        <f t="shared" si="8"/>
        <v>0</v>
      </c>
      <c r="AC12" s="695"/>
      <c r="AD12" s="708">
        <f t="shared" si="9"/>
        <v>231</v>
      </c>
      <c r="AE12" s="709">
        <f>IFERROR(INDEX(V!R$7:R$62,MATCH(AF12,V!L$7:L$62,0)),"")</f>
        <v>113</v>
      </c>
      <c r="AF12" s="710" t="str">
        <f t="shared" si="1"/>
        <v>Kaspar Mänd</v>
      </c>
      <c r="AG12" s="709">
        <f>IFERROR(INDEX(V!R$7:R$62,MATCH(AH12,V!L$7:L$62,0)),"")</f>
        <v>118</v>
      </c>
      <c r="AH12" s="710" t="str">
        <f t="shared" si="2"/>
        <v>Tarmo Bombe</v>
      </c>
      <c r="AI12" s="709" t="str">
        <f>IFERROR(INDEX(V!R$7:R$62,MATCH(AJ12,V!L$7:L$62,0)),"")</f>
        <v/>
      </c>
      <c r="AJ12" s="710" t="str">
        <f t="shared" si="3"/>
        <v/>
      </c>
      <c r="AK12" s="709" t="str">
        <f>IFERROR(INDEX(V!R$7:R$62,MATCH(AL12,V!L$7:L$62,0)),"")</f>
        <v/>
      </c>
      <c r="AL12" s="710" t="str">
        <f t="shared" si="4"/>
        <v/>
      </c>
      <c r="AM12" s="652"/>
    </row>
    <row r="13" spans="1:39" x14ac:dyDescent="0.2">
      <c r="A13" s="685">
        <v>6</v>
      </c>
      <c r="B13" s="686" t="s">
        <v>392</v>
      </c>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5"/>
        <v>0</v>
      </c>
      <c r="X13" s="692"/>
      <c r="Y13" s="687">
        <f t="shared" si="6"/>
        <v>0</v>
      </c>
      <c r="Z13" s="688" t="s">
        <v>377</v>
      </c>
      <c r="AA13" s="693">
        <f t="shared" si="7"/>
        <v>0</v>
      </c>
      <c r="AB13" s="694">
        <f t="shared" si="8"/>
        <v>0</v>
      </c>
      <c r="AC13" s="695"/>
      <c r="AD13" s="708">
        <f t="shared" si="9"/>
        <v>96</v>
      </c>
      <c r="AE13" s="709">
        <f>IFERROR(INDEX(V!R$7:R$62,MATCH(AF13,V!L$7:L$62,0)),"")</f>
        <v>48</v>
      </c>
      <c r="AF13" s="710" t="str">
        <f t="shared" si="1"/>
        <v>Aarne Välja</v>
      </c>
      <c r="AG13" s="709">
        <f>IFERROR(INDEX(V!R$7:R$62,MATCH(AH13,V!L$7:L$62,0)),"")</f>
        <v>48</v>
      </c>
      <c r="AH13" s="710" t="str">
        <f t="shared" si="2"/>
        <v>Janek Tarto</v>
      </c>
      <c r="AI13" s="709" t="str">
        <f>IFERROR(INDEX(V!R$7:R$62,MATCH(AJ13,V!L$7:L$62,0)),"")</f>
        <v/>
      </c>
      <c r="AJ13" s="710" t="str">
        <f t="shared" si="3"/>
        <v/>
      </c>
      <c r="AK13" s="709" t="str">
        <f>IFERROR(INDEX(V!R$7:R$62,MATCH(AL13,V!L$7:L$62,0)),"")</f>
        <v/>
      </c>
      <c r="AL13" s="710" t="str">
        <f t="shared" si="4"/>
        <v/>
      </c>
      <c r="AM13" s="652"/>
    </row>
    <row r="14" spans="1:39" x14ac:dyDescent="0.2">
      <c r="A14" s="685">
        <v>7</v>
      </c>
      <c r="B14" s="696" t="s">
        <v>399</v>
      </c>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5"/>
        <v>0</v>
      </c>
      <c r="X14" s="692"/>
      <c r="Y14" s="687">
        <f t="shared" si="6"/>
        <v>0</v>
      </c>
      <c r="Z14" s="688" t="s">
        <v>377</v>
      </c>
      <c r="AA14" s="693">
        <f t="shared" si="7"/>
        <v>0</v>
      </c>
      <c r="AB14" s="694">
        <f t="shared" si="8"/>
        <v>0</v>
      </c>
      <c r="AC14" s="695"/>
      <c r="AD14" s="708">
        <f t="shared" si="9"/>
        <v>181</v>
      </c>
      <c r="AE14" s="709">
        <f>IFERROR(INDEX(V!R$7:R$62,MATCH(AF14,V!L$7:L$62,0)),"")</f>
        <v>106</v>
      </c>
      <c r="AF14" s="710" t="str">
        <f t="shared" si="1"/>
        <v>Henri Mitt</v>
      </c>
      <c r="AG14" s="709">
        <f>IFERROR(INDEX(V!R$7:R$62,MATCH(AH14,V!L$7:L$62,0)),"")</f>
        <v>75</v>
      </c>
      <c r="AH14" s="710" t="str">
        <f t="shared" si="2"/>
        <v>Urmas Randlaine</v>
      </c>
      <c r="AI14" s="709" t="str">
        <f>IFERROR(INDEX(V!R$7:R$62,MATCH(AJ14,V!L$7:L$62,0)),"")</f>
        <v/>
      </c>
      <c r="AJ14" s="710" t="str">
        <f t="shared" si="3"/>
        <v/>
      </c>
      <c r="AK14" s="709" t="str">
        <f>IFERROR(INDEX(V!R$7:R$62,MATCH(AL14,V!L$7:L$62,0)),"")</f>
        <v/>
      </c>
      <c r="AL14" s="710" t="str">
        <f t="shared" si="4"/>
        <v/>
      </c>
      <c r="AM14" s="652"/>
    </row>
    <row r="15" spans="1:39" x14ac:dyDescent="0.2">
      <c r="A15" s="685">
        <v>8</v>
      </c>
      <c r="B15" s="696" t="s">
        <v>404</v>
      </c>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5"/>
        <v>0</v>
      </c>
      <c r="X15" s="692"/>
      <c r="Y15" s="687">
        <f t="shared" si="6"/>
        <v>0</v>
      </c>
      <c r="Z15" s="688" t="s">
        <v>377</v>
      </c>
      <c r="AA15" s="693">
        <f t="shared" si="7"/>
        <v>0</v>
      </c>
      <c r="AB15" s="694">
        <f t="shared" si="8"/>
        <v>0</v>
      </c>
      <c r="AC15" s="695"/>
      <c r="AD15" s="708">
        <f t="shared" si="9"/>
        <v>235</v>
      </c>
      <c r="AE15" s="709">
        <f>IFERROR(INDEX(V!R$7:R$62,MATCH(AF15,V!L$7:L$62,0)),"")</f>
        <v>125</v>
      </c>
      <c r="AF15" s="710" t="str">
        <f t="shared" si="1"/>
        <v>Karla Purgats</v>
      </c>
      <c r="AG15" s="709">
        <f>IFERROR(INDEX(V!R$7:R$62,MATCH(AH15,V!L$7:L$62,0)),"")</f>
        <v>110</v>
      </c>
      <c r="AH15" s="710" t="str">
        <f t="shared" si="2"/>
        <v>Lemmit Toomra</v>
      </c>
      <c r="AI15" s="709" t="str">
        <f>IFERROR(INDEX(V!R$7:R$62,MATCH(AJ15,V!L$7:L$62,0)),"")</f>
        <v/>
      </c>
      <c r="AJ15" s="710" t="str">
        <f t="shared" si="3"/>
        <v/>
      </c>
      <c r="AK15" s="709" t="str">
        <f>IFERROR(INDEX(V!R$7:R$62,MATCH(AL15,V!L$7:L$62,0)),"")</f>
        <v/>
      </c>
      <c r="AL15" s="710" t="str">
        <f t="shared" si="4"/>
        <v/>
      </c>
      <c r="AM15" s="652"/>
    </row>
    <row r="16" spans="1:39" x14ac:dyDescent="0.2">
      <c r="A16" s="685">
        <v>9</v>
      </c>
      <c r="B16" s="686" t="s">
        <v>393</v>
      </c>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5"/>
        <v>0</v>
      </c>
      <c r="X16" s="692"/>
      <c r="Y16" s="687">
        <f t="shared" si="6"/>
        <v>0</v>
      </c>
      <c r="Z16" s="688" t="s">
        <v>377</v>
      </c>
      <c r="AA16" s="693">
        <f t="shared" si="7"/>
        <v>0</v>
      </c>
      <c r="AB16" s="694">
        <f t="shared" si="8"/>
        <v>0</v>
      </c>
      <c r="AC16" s="695"/>
      <c r="AD16" s="708">
        <f t="shared" si="9"/>
        <v>216</v>
      </c>
      <c r="AE16" s="709">
        <f>IFERROR(INDEX(V!R$7:R$62,MATCH(AF16,V!L$7:L$62,0)),"")</f>
        <v>113</v>
      </c>
      <c r="AF16" s="710" t="str">
        <f t="shared" si="1"/>
        <v>Andrei Grintšak</v>
      </c>
      <c r="AG16" s="709">
        <f>IFERROR(INDEX(V!R$7:R$62,MATCH(AH16,V!L$7:L$62,0)),"")</f>
        <v>103</v>
      </c>
      <c r="AH16" s="710" t="str">
        <f t="shared" si="2"/>
        <v>Boriss Klubov</v>
      </c>
      <c r="AI16" s="709" t="str">
        <f>IFERROR(INDEX(V!R$7:R$62,MATCH(AJ16,V!L$7:L$62,0)),"")</f>
        <v/>
      </c>
      <c r="AJ16" s="710" t="str">
        <f t="shared" si="3"/>
        <v/>
      </c>
      <c r="AK16" s="709" t="str">
        <f>IFERROR(INDEX(V!R$7:R$62,MATCH(AL16,V!L$7:L$62,0)),"")</f>
        <v/>
      </c>
      <c r="AL16" s="710" t="str">
        <f t="shared" si="4"/>
        <v/>
      </c>
      <c r="AM16" s="652"/>
    </row>
    <row r="17" spans="1:39" x14ac:dyDescent="0.2">
      <c r="A17" s="685">
        <v>10</v>
      </c>
      <c r="B17" s="686" t="s">
        <v>431</v>
      </c>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5"/>
        <v>0</v>
      </c>
      <c r="X17" s="692"/>
      <c r="Y17" s="687">
        <f t="shared" si="6"/>
        <v>0</v>
      </c>
      <c r="Z17" s="688" t="s">
        <v>377</v>
      </c>
      <c r="AA17" s="693">
        <f t="shared" si="7"/>
        <v>0</v>
      </c>
      <c r="AB17" s="694">
        <f t="shared" si="8"/>
        <v>0</v>
      </c>
      <c r="AC17" s="695"/>
      <c r="AD17" s="708">
        <f t="shared" si="9"/>
        <v>162</v>
      </c>
      <c r="AE17" s="709">
        <f>IFERROR(INDEX(V!R$7:R$62,MATCH(AF17,V!L$7:L$62,0)),"")</f>
        <v>85</v>
      </c>
      <c r="AF17" s="710" t="str">
        <f t="shared" si="1"/>
        <v>Jaan Saar</v>
      </c>
      <c r="AG17" s="709">
        <f>IFERROR(INDEX(V!R$7:R$62,MATCH(AH17,V!L$7:L$62,0)),"")</f>
        <v>77</v>
      </c>
      <c r="AH17" s="710" t="str">
        <f t="shared" si="2"/>
        <v>Liidia Põllu</v>
      </c>
      <c r="AI17" s="709" t="str">
        <f>IFERROR(INDEX(V!R$7:R$62,MATCH(AJ17,V!L$7:L$62,0)),"")</f>
        <v/>
      </c>
      <c r="AJ17" s="710" t="str">
        <f t="shared" si="3"/>
        <v/>
      </c>
      <c r="AK17" s="709" t="str">
        <f>IFERROR(INDEX(V!R$7:R$62,MATCH(AL17,V!L$7:L$62,0)),"")</f>
        <v/>
      </c>
      <c r="AL17" s="710" t="str">
        <f t="shared" si="4"/>
        <v/>
      </c>
      <c r="AM17" s="652"/>
    </row>
    <row r="18" spans="1:39" hidden="1" x14ac:dyDescent="0.2">
      <c r="A18" s="652"/>
      <c r="B18" s="652"/>
      <c r="C18" s="652"/>
      <c r="D18" s="652"/>
      <c r="E18" s="652"/>
      <c r="F18" s="652"/>
      <c r="G18" s="652"/>
      <c r="H18" s="652"/>
      <c r="I18" s="652"/>
      <c r="J18" s="652"/>
      <c r="K18" s="652"/>
      <c r="L18" s="652"/>
      <c r="M18" s="652"/>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row>
    <row r="19" spans="1:39" hidden="1" x14ac:dyDescent="0.2">
      <c r="A19" s="652"/>
      <c r="B19" s="652"/>
      <c r="C19" s="652"/>
      <c r="D19" s="652"/>
      <c r="E19" s="652"/>
      <c r="F19" s="652"/>
      <c r="G19" s="652"/>
      <c r="H19" s="652"/>
      <c r="I19" s="652"/>
      <c r="J19" s="652"/>
      <c r="K19" s="652"/>
      <c r="L19" s="652"/>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row>
    <row r="20" spans="1:39" hidden="1" x14ac:dyDescent="0.2">
      <c r="A20" s="652"/>
      <c r="B20" s="652"/>
      <c r="C20" s="652"/>
      <c r="D20" s="652"/>
      <c r="E20" s="652"/>
      <c r="F20" s="652"/>
      <c r="G20" s="652"/>
      <c r="H20" s="652"/>
      <c r="I20" s="652"/>
      <c r="J20" s="652"/>
      <c r="K20" s="652"/>
      <c r="L20" s="652"/>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row>
    <row r="21" spans="1:39" hidden="1" x14ac:dyDescent="0.2">
      <c r="A21" s="652"/>
      <c r="B21" s="652"/>
      <c r="C21" s="652"/>
      <c r="D21" s="652"/>
      <c r="E21" s="652"/>
      <c r="F21" s="652"/>
      <c r="G21" s="652"/>
      <c r="H21" s="652"/>
      <c r="I21" s="652"/>
      <c r="J21" s="652"/>
      <c r="K21" s="652"/>
      <c r="L21" s="652"/>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row>
    <row r="22" spans="1:39" hidden="1" x14ac:dyDescent="0.2">
      <c r="A22" s="652"/>
      <c r="B22" s="652"/>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row>
    <row r="23" spans="1:39" hidden="1" x14ac:dyDescent="0.2">
      <c r="A23" s="652"/>
      <c r="B23" s="652"/>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row>
    <row r="24" spans="1:39" hidden="1" x14ac:dyDescent="0.2">
      <c r="A24" s="652"/>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row>
    <row r="25" spans="1:39" hidden="1" x14ac:dyDescent="0.2">
      <c r="A25" s="652"/>
      <c r="B25" s="652"/>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row>
    <row r="26" spans="1:39" hidden="1" x14ac:dyDescent="0.2">
      <c r="A26" s="652"/>
      <c r="B26" s="652"/>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row>
    <row r="27" spans="1:39" hidden="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row>
    <row r="28" spans="1:39" hidden="1" x14ac:dyDescent="0.2">
      <c r="A28" s="652"/>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row>
    <row r="29" spans="1:39" hidden="1" x14ac:dyDescent="0.2">
      <c r="A29" s="652"/>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row>
    <row r="30" spans="1:39"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row>
    <row r="31" spans="1:39"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row>
    <row r="32" spans="1:39"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row>
    <row r="33" spans="1:39"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row>
    <row r="34" spans="1:39"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row>
    <row r="35" spans="1:39"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row>
    <row r="36" spans="1:39"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2"/>
    </row>
    <row r="133" spans="1:39" hidden="1" x14ac:dyDescent="0.2">
      <c r="A133" s="652"/>
      <c r="B133" s="652"/>
      <c r="C133" s="652"/>
      <c r="D133" s="652"/>
      <c r="E133" s="652"/>
      <c r="F133" s="652"/>
      <c r="G133" s="652"/>
      <c r="H133" s="652"/>
      <c r="I133" s="652"/>
      <c r="J133" s="652"/>
      <c r="K133" s="652"/>
      <c r="L133" s="657"/>
      <c r="M133" s="657"/>
      <c r="N133" s="657"/>
      <c r="O133" s="652"/>
      <c r="P133" s="652"/>
      <c r="Q133" s="652"/>
      <c r="R133" s="652"/>
      <c r="S133" s="652"/>
      <c r="T133" s="657"/>
      <c r="U133" s="657"/>
      <c r="V133" s="657"/>
      <c r="W133" s="652"/>
      <c r="X133" s="652"/>
      <c r="Y133" s="652"/>
      <c r="Z133" s="652"/>
      <c r="AA133" s="652"/>
      <c r="AB133" s="652"/>
      <c r="AC133" s="652"/>
      <c r="AD133" s="652"/>
      <c r="AE133" s="652"/>
      <c r="AF133" s="652"/>
      <c r="AG133" s="652"/>
      <c r="AH133" s="652"/>
      <c r="AI133" s="652"/>
      <c r="AJ133" s="652"/>
      <c r="AK133" s="652"/>
      <c r="AL133" s="652"/>
      <c r="AM133" s="652"/>
    </row>
    <row r="134" spans="1:39" hidden="1" x14ac:dyDescent="0.2">
      <c r="A134" s="652"/>
      <c r="B134" s="652"/>
      <c r="C134" s="652"/>
      <c r="D134" s="652"/>
      <c r="E134" s="652"/>
      <c r="F134" s="652"/>
      <c r="G134" s="652"/>
      <c r="H134" s="652"/>
      <c r="I134" s="652"/>
      <c r="J134" s="652"/>
      <c r="K134" s="652"/>
      <c r="L134" s="657"/>
      <c r="M134" s="657"/>
      <c r="N134" s="657"/>
      <c r="O134" s="652"/>
      <c r="P134" s="652"/>
      <c r="Q134" s="652"/>
      <c r="R134" s="652"/>
      <c r="S134" s="652"/>
      <c r="T134" s="657"/>
      <c r="U134" s="657"/>
      <c r="V134" s="657"/>
      <c r="W134" s="652"/>
      <c r="X134" s="652"/>
      <c r="Y134" s="652"/>
      <c r="Z134" s="652"/>
      <c r="AA134" s="652"/>
      <c r="AB134" s="652"/>
      <c r="AC134" s="652"/>
      <c r="AD134" s="652"/>
      <c r="AE134" s="652"/>
      <c r="AF134" s="652"/>
      <c r="AG134" s="652"/>
      <c r="AH134" s="652"/>
      <c r="AI134" s="652"/>
      <c r="AJ134" s="652"/>
      <c r="AK134" s="652"/>
      <c r="AL134" s="652"/>
      <c r="AM134" s="652"/>
    </row>
    <row r="135" spans="1:39" hidden="1" x14ac:dyDescent="0.2">
      <c r="A135" s="652"/>
      <c r="B135" s="652"/>
      <c r="C135" s="652"/>
      <c r="D135" s="652"/>
      <c r="E135" s="652"/>
      <c r="F135" s="652"/>
      <c r="G135" s="652"/>
      <c r="H135" s="652"/>
      <c r="I135" s="652"/>
      <c r="J135" s="652"/>
      <c r="K135" s="652"/>
      <c r="L135" s="657"/>
      <c r="M135" s="657"/>
      <c r="N135" s="657"/>
      <c r="O135" s="652"/>
      <c r="P135" s="652"/>
      <c r="Q135" s="652"/>
      <c r="R135" s="652"/>
      <c r="S135" s="652"/>
      <c r="T135" s="657"/>
      <c r="U135" s="657"/>
      <c r="V135" s="657"/>
      <c r="W135" s="652"/>
      <c r="X135" s="652"/>
      <c r="Y135" s="652"/>
      <c r="Z135" s="652"/>
      <c r="AA135" s="652"/>
      <c r="AB135" s="652"/>
      <c r="AC135" s="652"/>
      <c r="AD135" s="652"/>
      <c r="AE135" s="652"/>
      <c r="AF135" s="652"/>
      <c r="AG135" s="652"/>
      <c r="AH135" s="652"/>
      <c r="AI135" s="652"/>
      <c r="AJ135" s="652"/>
      <c r="AK135" s="652"/>
      <c r="AL135" s="652"/>
      <c r="AM135" s="652"/>
    </row>
    <row r="136" spans="1:39" hidden="1" x14ac:dyDescent="0.2">
      <c r="A136" s="652"/>
      <c r="B136" s="652"/>
      <c r="C136" s="652"/>
      <c r="D136" s="652"/>
      <c r="E136" s="652"/>
      <c r="F136" s="652"/>
      <c r="G136" s="652"/>
      <c r="H136" s="652"/>
      <c r="I136" s="652"/>
      <c r="J136" s="652"/>
      <c r="K136" s="652"/>
      <c r="L136" s="657"/>
      <c r="M136" s="657"/>
      <c r="N136" s="657"/>
      <c r="O136" s="652"/>
      <c r="P136" s="652"/>
      <c r="Q136" s="652"/>
      <c r="R136" s="652"/>
      <c r="S136" s="652"/>
      <c r="T136" s="657"/>
      <c r="U136" s="657"/>
      <c r="V136" s="657"/>
      <c r="W136" s="652"/>
      <c r="X136" s="652"/>
      <c r="Y136" s="652"/>
      <c r="Z136" s="652"/>
      <c r="AA136" s="652"/>
      <c r="AB136" s="652"/>
      <c r="AC136" s="652"/>
      <c r="AD136" s="652"/>
      <c r="AE136" s="652"/>
      <c r="AF136" s="652"/>
      <c r="AG136" s="652"/>
      <c r="AH136" s="652"/>
      <c r="AI136" s="652"/>
      <c r="AJ136" s="652"/>
      <c r="AK136" s="652"/>
      <c r="AL136" s="652"/>
      <c r="AM136" s="652"/>
    </row>
    <row r="137" spans="1:39" hidden="1" x14ac:dyDescent="0.2">
      <c r="A137" s="652"/>
      <c r="B137" s="652"/>
      <c r="C137" s="652"/>
      <c r="D137" s="652"/>
      <c r="E137" s="652"/>
      <c r="F137" s="652"/>
      <c r="G137" s="652"/>
      <c r="H137" s="652"/>
      <c r="I137" s="652"/>
      <c r="J137" s="652"/>
      <c r="K137" s="652"/>
      <c r="L137" s="657"/>
      <c r="M137" s="657"/>
      <c r="N137" s="657"/>
      <c r="O137" s="652"/>
      <c r="P137" s="652"/>
      <c r="Q137" s="652"/>
      <c r="R137" s="652"/>
      <c r="S137" s="652"/>
      <c r="T137" s="657"/>
      <c r="U137" s="657"/>
      <c r="V137" s="657"/>
      <c r="W137" s="652"/>
      <c r="X137" s="652"/>
      <c r="Y137" s="652"/>
      <c r="Z137" s="652"/>
      <c r="AA137" s="652"/>
      <c r="AB137" s="652"/>
      <c r="AC137" s="652"/>
      <c r="AD137" s="652"/>
      <c r="AE137" s="652"/>
      <c r="AF137" s="652"/>
      <c r="AG137" s="652"/>
      <c r="AH137" s="652"/>
      <c r="AI137" s="652"/>
      <c r="AJ137" s="652"/>
      <c r="AK137" s="652"/>
      <c r="AL137" s="652"/>
      <c r="AM137" s="652"/>
    </row>
    <row r="138" spans="1:39" hidden="1" x14ac:dyDescent="0.2">
      <c r="A138" s="652"/>
      <c r="B138" s="652"/>
      <c r="C138" s="652"/>
      <c r="D138" s="652"/>
      <c r="E138" s="652"/>
      <c r="F138" s="652"/>
      <c r="G138" s="652"/>
      <c r="H138" s="652"/>
      <c r="I138" s="652"/>
      <c r="J138" s="652"/>
      <c r="K138" s="652"/>
      <c r="L138" s="657"/>
      <c r="M138" s="657"/>
      <c r="N138" s="657"/>
      <c r="O138" s="652"/>
      <c r="P138" s="652"/>
      <c r="Q138" s="652"/>
      <c r="R138" s="652"/>
      <c r="S138" s="652"/>
      <c r="T138" s="657"/>
      <c r="U138" s="657"/>
      <c r="V138" s="657"/>
      <c r="W138" s="652"/>
      <c r="X138" s="652"/>
      <c r="Y138" s="652"/>
      <c r="Z138" s="652"/>
      <c r="AA138" s="652"/>
      <c r="AB138" s="652"/>
      <c r="AC138" s="652"/>
      <c r="AD138" s="652"/>
      <c r="AE138" s="652"/>
      <c r="AF138" s="652"/>
      <c r="AG138" s="652"/>
      <c r="AH138" s="652"/>
      <c r="AI138" s="652"/>
      <c r="AJ138" s="652"/>
      <c r="AK138" s="652"/>
      <c r="AL138" s="652"/>
      <c r="AM138" s="652"/>
    </row>
    <row r="139" spans="1:39" hidden="1" x14ac:dyDescent="0.2">
      <c r="A139" s="652"/>
      <c r="B139" s="652"/>
      <c r="C139" s="652"/>
      <c r="D139" s="652"/>
      <c r="E139" s="652"/>
      <c r="F139" s="652"/>
      <c r="G139" s="652"/>
      <c r="H139" s="652"/>
      <c r="I139" s="652"/>
      <c r="J139" s="652"/>
      <c r="K139" s="652"/>
      <c r="L139" s="657"/>
      <c r="M139" s="657"/>
      <c r="N139" s="657"/>
      <c r="O139" s="652"/>
      <c r="P139" s="652"/>
      <c r="Q139" s="652"/>
      <c r="R139" s="652"/>
      <c r="S139" s="652"/>
      <c r="T139" s="657"/>
      <c r="U139" s="657"/>
      <c r="V139" s="657"/>
      <c r="W139" s="652"/>
      <c r="X139" s="652"/>
      <c r="Y139" s="652"/>
      <c r="Z139" s="652"/>
      <c r="AA139" s="652"/>
      <c r="AB139" s="652"/>
      <c r="AC139" s="652"/>
      <c r="AD139" s="652"/>
      <c r="AE139" s="652"/>
      <c r="AF139" s="652"/>
      <c r="AG139" s="652"/>
      <c r="AH139" s="652"/>
      <c r="AI139" s="652"/>
      <c r="AJ139" s="652"/>
      <c r="AK139" s="652"/>
      <c r="AL139" s="652"/>
      <c r="AM139" s="652"/>
    </row>
    <row r="140" spans="1:39" hidden="1" x14ac:dyDescent="0.2">
      <c r="A140" s="652"/>
      <c r="B140" s="652"/>
      <c r="C140" s="652"/>
      <c r="D140" s="652"/>
      <c r="E140" s="652"/>
      <c r="F140" s="652"/>
      <c r="G140" s="652"/>
      <c r="H140" s="652"/>
      <c r="I140" s="652"/>
      <c r="J140" s="652"/>
      <c r="K140" s="652"/>
      <c r="L140" s="657"/>
      <c r="M140" s="657"/>
      <c r="N140" s="657"/>
      <c r="O140" s="652"/>
      <c r="P140" s="652"/>
      <c r="Q140" s="652"/>
      <c r="R140" s="652"/>
      <c r="S140" s="652"/>
      <c r="T140" s="657"/>
      <c r="U140" s="657"/>
      <c r="V140" s="657"/>
      <c r="W140" s="652"/>
      <c r="X140" s="652"/>
      <c r="Y140" s="652"/>
      <c r="Z140" s="652"/>
      <c r="AA140" s="652"/>
      <c r="AB140" s="652"/>
      <c r="AC140" s="652"/>
      <c r="AD140" s="652"/>
      <c r="AE140" s="652"/>
      <c r="AF140" s="652"/>
      <c r="AG140" s="652"/>
      <c r="AH140" s="652"/>
      <c r="AI140" s="652"/>
      <c r="AJ140" s="652"/>
      <c r="AK140" s="652"/>
      <c r="AL140" s="652"/>
      <c r="AM140" s="652"/>
    </row>
    <row r="141" spans="1:39" hidden="1" x14ac:dyDescent="0.2">
      <c r="A141" s="652"/>
      <c r="B141" s="652"/>
      <c r="C141" s="652"/>
      <c r="D141" s="652"/>
      <c r="E141" s="652"/>
      <c r="F141" s="652"/>
      <c r="G141" s="652"/>
      <c r="H141" s="652"/>
      <c r="I141" s="652"/>
      <c r="J141" s="652"/>
      <c r="K141" s="652"/>
      <c r="L141" s="657"/>
      <c r="M141" s="657"/>
      <c r="N141" s="657"/>
      <c r="O141" s="652"/>
      <c r="P141" s="652"/>
      <c r="Q141" s="652"/>
      <c r="R141" s="652"/>
      <c r="S141" s="652"/>
      <c r="T141" s="657"/>
      <c r="U141" s="657"/>
      <c r="V141" s="657"/>
      <c r="W141" s="652"/>
      <c r="X141" s="652"/>
      <c r="Y141" s="652"/>
      <c r="Z141" s="652"/>
      <c r="AA141" s="652"/>
      <c r="AB141" s="652"/>
      <c r="AC141" s="652"/>
      <c r="AD141" s="652"/>
      <c r="AE141" s="652"/>
      <c r="AF141" s="652"/>
      <c r="AG141" s="652"/>
      <c r="AH141" s="652"/>
      <c r="AI141" s="652"/>
      <c r="AJ141" s="652"/>
      <c r="AK141" s="652"/>
      <c r="AL141" s="652"/>
      <c r="AM141" s="652"/>
    </row>
    <row r="142" spans="1:39" hidden="1" x14ac:dyDescent="0.2">
      <c r="A142" s="652"/>
      <c r="B142" s="652"/>
      <c r="C142" s="652"/>
      <c r="D142" s="652"/>
      <c r="E142" s="652"/>
      <c r="F142" s="652"/>
      <c r="G142" s="652"/>
      <c r="H142" s="652"/>
      <c r="I142" s="652"/>
      <c r="J142" s="652"/>
      <c r="K142" s="652"/>
      <c r="L142" s="657"/>
      <c r="M142" s="657"/>
      <c r="N142" s="657"/>
      <c r="O142" s="652"/>
      <c r="P142" s="652"/>
      <c r="Q142" s="652"/>
      <c r="R142" s="652"/>
      <c r="S142" s="652"/>
      <c r="T142" s="657"/>
      <c r="U142" s="657"/>
      <c r="V142" s="657"/>
      <c r="W142" s="652"/>
      <c r="X142" s="652"/>
      <c r="Y142" s="652"/>
      <c r="Z142" s="652"/>
      <c r="AA142" s="652"/>
      <c r="AB142" s="652"/>
      <c r="AC142" s="652"/>
      <c r="AD142" s="652"/>
      <c r="AE142" s="652"/>
      <c r="AF142" s="652"/>
      <c r="AG142" s="652"/>
      <c r="AH142" s="652"/>
      <c r="AI142" s="652"/>
      <c r="AJ142" s="652"/>
      <c r="AK142" s="652"/>
      <c r="AL142" s="652"/>
      <c r="AM142" s="652"/>
    </row>
    <row r="143" spans="1:39" hidden="1" x14ac:dyDescent="0.2">
      <c r="A143" s="652"/>
      <c r="B143" s="652"/>
      <c r="C143" s="652"/>
      <c r="D143" s="652"/>
      <c r="E143" s="652"/>
      <c r="F143" s="652"/>
      <c r="G143" s="652"/>
      <c r="H143" s="652"/>
      <c r="I143" s="652"/>
      <c r="J143" s="652"/>
      <c r="K143" s="652"/>
      <c r="L143" s="657"/>
      <c r="M143" s="657"/>
      <c r="N143" s="657"/>
      <c r="O143" s="652"/>
      <c r="P143" s="652"/>
      <c r="Q143" s="652"/>
      <c r="R143" s="652"/>
      <c r="S143" s="652"/>
      <c r="T143" s="657"/>
      <c r="U143" s="657"/>
      <c r="V143" s="657"/>
      <c r="W143" s="652"/>
      <c r="X143" s="652"/>
      <c r="Y143" s="652"/>
      <c r="Z143" s="652"/>
      <c r="AA143" s="652"/>
      <c r="AB143" s="652"/>
      <c r="AC143" s="652"/>
      <c r="AD143" s="652"/>
      <c r="AE143" s="652"/>
      <c r="AF143" s="652"/>
      <c r="AG143" s="652"/>
      <c r="AH143" s="652"/>
      <c r="AI143" s="652"/>
      <c r="AJ143" s="652"/>
      <c r="AK143" s="652"/>
      <c r="AL143" s="652"/>
      <c r="AM143" s="652"/>
    </row>
    <row r="144" spans="1:39" hidden="1" x14ac:dyDescent="0.2">
      <c r="A144" s="652"/>
      <c r="B144" s="652"/>
      <c r="C144" s="652"/>
      <c r="D144" s="652"/>
      <c r="E144" s="652"/>
      <c r="F144" s="652"/>
      <c r="G144" s="652"/>
      <c r="H144" s="652"/>
      <c r="I144" s="652"/>
      <c r="J144" s="652"/>
      <c r="K144" s="652"/>
      <c r="L144" s="657"/>
      <c r="M144" s="657"/>
      <c r="N144" s="657"/>
      <c r="O144" s="652"/>
      <c r="P144" s="652"/>
      <c r="Q144" s="652"/>
      <c r="R144" s="652"/>
      <c r="S144" s="652"/>
      <c r="T144" s="657"/>
      <c r="U144" s="657"/>
      <c r="V144" s="657"/>
      <c r="W144" s="652"/>
      <c r="X144" s="652"/>
      <c r="Y144" s="652"/>
      <c r="Z144" s="652"/>
      <c r="AA144" s="652"/>
      <c r="AB144" s="652"/>
      <c r="AC144" s="652"/>
      <c r="AD144" s="652"/>
      <c r="AE144" s="652"/>
      <c r="AF144" s="652"/>
      <c r="AG144" s="652"/>
      <c r="AH144" s="652"/>
      <c r="AI144" s="652"/>
      <c r="AJ144" s="652"/>
      <c r="AK144" s="652"/>
      <c r="AL144" s="652"/>
      <c r="AM144" s="652"/>
    </row>
    <row r="145" spans="1:39"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652"/>
      <c r="AF145" s="652"/>
      <c r="AG145" s="652"/>
      <c r="AH145" s="652"/>
      <c r="AI145" s="652"/>
      <c r="AJ145" s="652"/>
      <c r="AK145" s="652"/>
      <c r="AL145" s="652"/>
      <c r="AM145" s="652"/>
    </row>
    <row r="146" spans="1:39"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652"/>
      <c r="AF146" s="652"/>
      <c r="AG146" s="652"/>
      <c r="AH146" s="652"/>
      <c r="AI146" s="652"/>
      <c r="AJ146" s="652"/>
      <c r="AK146" s="652"/>
      <c r="AL146" s="652"/>
      <c r="AM146" s="652"/>
    </row>
    <row r="147" spans="1:39"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c r="AI148" s="652"/>
      <c r="AJ148" s="652"/>
      <c r="AK148" s="652"/>
      <c r="AL148" s="652"/>
      <c r="AM148" s="652"/>
    </row>
    <row r="149" spans="1:39" hidden="1" x14ac:dyDescent="0.2">
      <c r="A149" s="652"/>
      <c r="B149" s="652"/>
      <c r="C149" s="652"/>
      <c r="D149" s="652"/>
      <c r="E149" s="652"/>
      <c r="F149" s="652"/>
      <c r="G149" s="652"/>
      <c r="H149" s="652"/>
      <c r="I149" s="652"/>
      <c r="J149" s="652"/>
      <c r="K149" s="652"/>
      <c r="L149" s="652"/>
      <c r="M149" s="652"/>
      <c r="N149" s="652"/>
      <c r="O149" s="652"/>
      <c r="P149" s="652"/>
      <c r="Q149" s="652"/>
      <c r="R149" s="652"/>
      <c r="S149" s="652"/>
      <c r="T149" s="652"/>
      <c r="U149" s="652"/>
      <c r="V149" s="652"/>
      <c r="W149" s="652"/>
      <c r="X149" s="652"/>
      <c r="Y149" s="652"/>
      <c r="Z149" s="652"/>
      <c r="AA149" s="652"/>
      <c r="AB149" s="652"/>
      <c r="AC149" s="652"/>
      <c r="AD149" s="652"/>
      <c r="AE149" s="652"/>
      <c r="AF149" s="652"/>
      <c r="AG149" s="652"/>
      <c r="AH149" s="652"/>
      <c r="AI149" s="652"/>
      <c r="AJ149" s="652"/>
      <c r="AK149" s="652"/>
      <c r="AL149" s="652"/>
      <c r="AM149" s="652"/>
    </row>
    <row r="150" spans="1:39" hidden="1" x14ac:dyDescent="0.2">
      <c r="A150" s="652"/>
      <c r="B150" s="652"/>
      <c r="C150" s="652"/>
      <c r="D150" s="652"/>
      <c r="E150" s="652"/>
      <c r="F150" s="652"/>
      <c r="G150" s="652"/>
      <c r="H150" s="652"/>
      <c r="I150" s="652"/>
      <c r="J150" s="652"/>
      <c r="K150" s="652"/>
      <c r="L150" s="652"/>
      <c r="M150" s="652"/>
      <c r="N150" s="652"/>
      <c r="O150" s="652"/>
      <c r="P150" s="652"/>
      <c r="Q150" s="652"/>
      <c r="R150" s="652"/>
      <c r="S150" s="652"/>
      <c r="T150" s="652"/>
      <c r="U150" s="652"/>
      <c r="V150" s="652"/>
      <c r="W150" s="652"/>
      <c r="X150" s="652"/>
      <c r="Y150" s="652"/>
      <c r="Z150" s="652"/>
      <c r="AA150" s="652"/>
      <c r="AB150" s="652"/>
      <c r="AC150" s="652"/>
      <c r="AD150" s="652"/>
      <c r="AE150" s="652"/>
      <c r="AF150" s="652"/>
      <c r="AG150" s="652"/>
      <c r="AH150" s="652"/>
      <c r="AI150" s="652"/>
      <c r="AJ150" s="652"/>
      <c r="AK150" s="652"/>
      <c r="AL150" s="652"/>
      <c r="AM150" s="652"/>
    </row>
    <row r="151" spans="1:39" hidden="1" x14ac:dyDescent="0.2">
      <c r="A151" s="652"/>
      <c r="B151" s="652"/>
      <c r="C151" s="652"/>
      <c r="D151" s="652"/>
      <c r="E151" s="652"/>
      <c r="F151" s="652"/>
      <c r="G151" s="652"/>
      <c r="H151" s="652"/>
      <c r="I151" s="652"/>
      <c r="J151" s="652"/>
      <c r="K151" s="652"/>
      <c r="L151" s="652"/>
      <c r="M151" s="652"/>
      <c r="N151" s="652"/>
      <c r="O151" s="652"/>
      <c r="P151" s="652"/>
      <c r="Q151" s="652"/>
      <c r="R151" s="652"/>
      <c r="S151" s="652"/>
      <c r="T151" s="652"/>
      <c r="U151" s="652"/>
      <c r="V151" s="652"/>
      <c r="W151" s="652"/>
      <c r="X151" s="652"/>
      <c r="Y151" s="652"/>
      <c r="Z151" s="652"/>
      <c r="AA151" s="652"/>
      <c r="AB151" s="652"/>
      <c r="AC151" s="652"/>
      <c r="AD151" s="652"/>
      <c r="AE151" s="652"/>
      <c r="AF151" s="652"/>
      <c r="AG151" s="652"/>
      <c r="AH151" s="652"/>
      <c r="AI151" s="652"/>
      <c r="AJ151" s="652"/>
      <c r="AK151" s="652"/>
      <c r="AL151" s="652"/>
      <c r="AM151" s="652"/>
    </row>
    <row r="152" spans="1:39" hidden="1" x14ac:dyDescent="0.2">
      <c r="A152" s="652"/>
      <c r="B152" s="652"/>
      <c r="C152" s="652"/>
      <c r="D152" s="652"/>
      <c r="E152" s="652"/>
      <c r="F152" s="652"/>
      <c r="G152" s="652"/>
      <c r="H152" s="652"/>
      <c r="I152" s="652"/>
      <c r="J152" s="652"/>
      <c r="K152" s="652"/>
      <c r="L152" s="652"/>
      <c r="M152" s="652"/>
      <c r="N152" s="652"/>
      <c r="O152" s="652"/>
      <c r="P152" s="652"/>
      <c r="Q152" s="652"/>
      <c r="R152" s="652"/>
      <c r="S152" s="652"/>
      <c r="T152" s="652"/>
      <c r="U152" s="652"/>
      <c r="V152" s="652"/>
      <c r="W152" s="652"/>
      <c r="X152" s="652"/>
      <c r="Y152" s="652"/>
      <c r="Z152" s="652"/>
      <c r="AA152" s="652"/>
      <c r="AB152" s="652"/>
      <c r="AC152" s="652"/>
      <c r="AD152" s="652"/>
      <c r="AE152" s="652"/>
      <c r="AF152" s="652"/>
      <c r="AG152" s="652"/>
      <c r="AH152" s="652"/>
      <c r="AI152" s="652"/>
      <c r="AJ152" s="652"/>
      <c r="AK152" s="652"/>
      <c r="AL152" s="652"/>
      <c r="AM152" s="652"/>
    </row>
    <row r="153" spans="1:39" hidden="1" x14ac:dyDescent="0.2">
      <c r="A153" s="652"/>
      <c r="B153" s="652"/>
      <c r="C153" s="652"/>
      <c r="D153" s="652"/>
      <c r="E153" s="652"/>
      <c r="F153" s="652"/>
      <c r="G153" s="652"/>
      <c r="H153" s="652"/>
      <c r="I153" s="652"/>
      <c r="J153" s="652"/>
      <c r="K153" s="652"/>
      <c r="L153" s="652"/>
      <c r="M153" s="652"/>
      <c r="N153" s="652"/>
      <c r="O153" s="652"/>
      <c r="P153" s="652"/>
      <c r="Q153" s="652"/>
      <c r="R153" s="652"/>
      <c r="S153" s="652"/>
      <c r="T153" s="652"/>
      <c r="U153" s="652"/>
      <c r="V153" s="652"/>
      <c r="W153" s="652"/>
      <c r="X153" s="652"/>
      <c r="Y153" s="652"/>
      <c r="Z153" s="652"/>
      <c r="AA153" s="652"/>
      <c r="AB153" s="652"/>
      <c r="AC153" s="652"/>
      <c r="AD153" s="652"/>
      <c r="AE153" s="652"/>
      <c r="AF153" s="652"/>
      <c r="AG153" s="652"/>
      <c r="AH153" s="652"/>
      <c r="AI153" s="652"/>
      <c r="AJ153" s="652"/>
      <c r="AK153" s="652"/>
      <c r="AL153" s="652"/>
      <c r="AM153" s="652"/>
    </row>
    <row r="154" spans="1:39" hidden="1" x14ac:dyDescent="0.2">
      <c r="A154" s="652"/>
      <c r="B154" s="652"/>
      <c r="C154" s="652"/>
      <c r="D154" s="652"/>
      <c r="E154" s="652"/>
      <c r="F154" s="652"/>
      <c r="G154" s="652"/>
      <c r="H154" s="652"/>
      <c r="I154" s="652"/>
      <c r="J154" s="652"/>
      <c r="K154" s="652"/>
      <c r="L154" s="652"/>
      <c r="M154" s="652"/>
      <c r="N154" s="652"/>
      <c r="O154" s="652"/>
      <c r="P154" s="652"/>
      <c r="Q154" s="652"/>
      <c r="R154" s="652"/>
      <c r="S154" s="652"/>
      <c r="T154" s="652"/>
      <c r="U154" s="652"/>
      <c r="V154" s="652"/>
      <c r="W154" s="652"/>
      <c r="X154" s="652"/>
      <c r="Y154" s="652"/>
      <c r="Z154" s="652"/>
      <c r="AA154" s="652"/>
      <c r="AB154" s="652"/>
      <c r="AC154" s="652"/>
      <c r="AD154" s="652"/>
      <c r="AE154" s="652"/>
      <c r="AF154" s="652"/>
      <c r="AG154" s="652"/>
      <c r="AH154" s="652"/>
      <c r="AI154" s="652"/>
      <c r="AJ154" s="652"/>
      <c r="AK154" s="652"/>
      <c r="AL154" s="652"/>
      <c r="AM154" s="652"/>
    </row>
    <row r="155" spans="1:39" hidden="1" x14ac:dyDescent="0.2">
      <c r="A155" s="652"/>
      <c r="B155" s="652"/>
      <c r="C155" s="652"/>
      <c r="D155" s="652"/>
      <c r="E155" s="652"/>
      <c r="F155" s="652"/>
      <c r="G155" s="652"/>
      <c r="H155" s="652"/>
      <c r="I155" s="652"/>
      <c r="J155" s="652"/>
      <c r="K155" s="652"/>
      <c r="L155" s="652"/>
      <c r="M155" s="652"/>
      <c r="N155" s="652"/>
      <c r="O155" s="652"/>
      <c r="P155" s="652"/>
      <c r="Q155" s="652"/>
      <c r="R155" s="652"/>
      <c r="S155" s="652"/>
      <c r="T155" s="652"/>
      <c r="U155" s="652"/>
      <c r="V155" s="652"/>
      <c r="W155" s="652"/>
      <c r="X155" s="652"/>
      <c r="Y155" s="652"/>
      <c r="Z155" s="652"/>
      <c r="AA155" s="652"/>
      <c r="AB155" s="652"/>
      <c r="AC155" s="652"/>
      <c r="AD155" s="652"/>
      <c r="AE155" s="652"/>
      <c r="AF155" s="652"/>
      <c r="AG155" s="652"/>
      <c r="AH155" s="652"/>
      <c r="AI155" s="652"/>
      <c r="AJ155" s="652"/>
      <c r="AK155" s="652"/>
      <c r="AL155" s="652"/>
      <c r="AM155" s="652"/>
    </row>
    <row r="156" spans="1:39" hidden="1" x14ac:dyDescent="0.2">
      <c r="A156" s="652"/>
      <c r="B156" s="652"/>
      <c r="C156" s="652"/>
      <c r="D156" s="652"/>
      <c r="E156" s="652"/>
      <c r="F156" s="652"/>
      <c r="G156" s="652"/>
      <c r="H156" s="652"/>
      <c r="I156" s="652"/>
      <c r="J156" s="652"/>
      <c r="K156" s="652"/>
      <c r="L156" s="652"/>
      <c r="M156" s="652"/>
      <c r="N156" s="652"/>
      <c r="O156" s="652"/>
      <c r="P156" s="652"/>
      <c r="Q156" s="652"/>
      <c r="R156" s="652"/>
      <c r="S156" s="652"/>
      <c r="T156" s="652"/>
      <c r="U156" s="652"/>
      <c r="V156" s="652"/>
      <c r="W156" s="652"/>
      <c r="X156" s="652"/>
      <c r="Y156" s="652"/>
      <c r="Z156" s="652"/>
      <c r="AA156" s="652"/>
      <c r="AB156" s="652"/>
      <c r="AC156" s="652"/>
      <c r="AD156" s="652"/>
      <c r="AE156" s="652"/>
      <c r="AF156" s="652"/>
      <c r="AG156" s="652"/>
      <c r="AH156" s="652"/>
      <c r="AI156" s="652"/>
      <c r="AJ156" s="652"/>
      <c r="AK156" s="652"/>
      <c r="AL156" s="652"/>
      <c r="AM156" s="652"/>
    </row>
    <row r="157" spans="1:39" hidden="1" x14ac:dyDescent="0.2">
      <c r="A157" s="652"/>
      <c r="B157" s="652"/>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652"/>
      <c r="AK157" s="652"/>
      <c r="AL157" s="652"/>
      <c r="AM157" s="652"/>
    </row>
    <row r="158" spans="1:39" hidden="1" x14ac:dyDescent="0.2">
      <c r="A158" s="652"/>
      <c r="B158" s="652"/>
      <c r="C158" s="652"/>
      <c r="D158" s="652"/>
      <c r="E158" s="652"/>
      <c r="F158" s="652"/>
      <c r="G158" s="652"/>
      <c r="H158" s="652"/>
      <c r="I158" s="652"/>
      <c r="J158" s="652"/>
      <c r="K158" s="652"/>
      <c r="L158" s="652"/>
      <c r="M158" s="652"/>
      <c r="N158" s="652"/>
      <c r="O158" s="652"/>
      <c r="P158" s="652"/>
      <c r="Q158" s="652"/>
      <c r="R158" s="652"/>
      <c r="S158" s="652"/>
      <c r="T158" s="652"/>
      <c r="U158" s="652"/>
      <c r="V158" s="652"/>
      <c r="W158" s="652"/>
      <c r="X158" s="652"/>
      <c r="Y158" s="652"/>
      <c r="Z158" s="652"/>
      <c r="AA158" s="652"/>
      <c r="AB158" s="652"/>
      <c r="AC158" s="652"/>
      <c r="AD158" s="652"/>
      <c r="AE158" s="652"/>
      <c r="AF158" s="652"/>
      <c r="AG158" s="652"/>
      <c r="AH158" s="652"/>
      <c r="AI158" s="652"/>
      <c r="AJ158" s="652"/>
      <c r="AK158" s="652"/>
      <c r="AL158" s="652"/>
      <c r="AM158" s="652"/>
    </row>
    <row r="159" spans="1:39" hidden="1" x14ac:dyDescent="0.2">
      <c r="A159" s="652"/>
      <c r="B159" s="652"/>
      <c r="C159" s="652"/>
      <c r="D159" s="652"/>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652"/>
      <c r="AF159" s="652"/>
      <c r="AG159" s="652"/>
      <c r="AH159" s="652"/>
      <c r="AI159" s="652"/>
      <c r="AJ159" s="652"/>
      <c r="AK159" s="652"/>
      <c r="AL159" s="652"/>
      <c r="AM159" s="652"/>
    </row>
    <row r="160" spans="1:39" hidden="1" x14ac:dyDescent="0.2">
      <c r="A160" s="652"/>
      <c r="B160" s="652"/>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row>
    <row r="161" spans="1:39"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row>
    <row r="162" spans="1:39" hidden="1" x14ac:dyDescent="0.2">
      <c r="A162" s="652"/>
      <c r="B162" s="652"/>
      <c r="C162" s="652"/>
      <c r="D162" s="652"/>
      <c r="E162" s="652"/>
      <c r="F162" s="652"/>
      <c r="G162" s="652"/>
      <c r="H162" s="652"/>
      <c r="I162" s="652"/>
      <c r="J162" s="652"/>
      <c r="K162" s="652"/>
      <c r="L162" s="657"/>
      <c r="M162" s="657"/>
      <c r="N162" s="657"/>
      <c r="O162" s="652"/>
      <c r="P162" s="652"/>
      <c r="Q162" s="652"/>
      <c r="R162" s="652"/>
      <c r="S162" s="652"/>
      <c r="T162" s="657"/>
      <c r="U162" s="657"/>
      <c r="V162" s="657"/>
      <c r="W162" s="652"/>
      <c r="X162" s="652"/>
      <c r="Y162" s="652"/>
      <c r="Z162" s="652"/>
      <c r="AA162" s="652"/>
      <c r="AB162" s="652"/>
      <c r="AC162" s="652"/>
      <c r="AD162" s="652"/>
      <c r="AE162" s="652"/>
      <c r="AF162" s="652"/>
      <c r="AG162" s="652"/>
      <c r="AH162" s="652"/>
      <c r="AI162" s="652"/>
      <c r="AJ162" s="652"/>
      <c r="AK162" s="652"/>
      <c r="AL162" s="652"/>
      <c r="AM162" s="652"/>
    </row>
    <row r="163" spans="1:39" hidden="1" x14ac:dyDescent="0.2">
      <c r="A163" s="652"/>
      <c r="B163" s="652"/>
      <c r="C163" s="652"/>
      <c r="D163" s="652"/>
      <c r="E163" s="652"/>
      <c r="F163" s="652"/>
      <c r="G163" s="652"/>
      <c r="H163" s="652"/>
      <c r="I163" s="652"/>
      <c r="J163" s="652"/>
      <c r="K163" s="652"/>
      <c r="L163" s="657"/>
      <c r="M163" s="657"/>
      <c r="N163" s="657"/>
      <c r="O163" s="652"/>
      <c r="P163" s="652"/>
      <c r="Q163" s="652"/>
      <c r="R163" s="652"/>
      <c r="S163" s="652"/>
      <c r="T163" s="657"/>
      <c r="U163" s="657"/>
      <c r="V163" s="657"/>
      <c r="W163" s="652"/>
      <c r="X163" s="652"/>
      <c r="Y163" s="652"/>
      <c r="Z163" s="652"/>
      <c r="AA163" s="652"/>
      <c r="AB163" s="652"/>
      <c r="AC163" s="652"/>
      <c r="AD163" s="652"/>
      <c r="AE163" s="652"/>
      <c r="AF163" s="652"/>
      <c r="AG163" s="652"/>
      <c r="AH163" s="652"/>
      <c r="AI163" s="652"/>
      <c r="AJ163" s="652"/>
      <c r="AK163" s="652"/>
      <c r="AL163" s="652"/>
      <c r="AM163" s="652"/>
    </row>
    <row r="164" spans="1:39" hidden="1" x14ac:dyDescent="0.2">
      <c r="A164" s="652"/>
      <c r="B164" s="652"/>
      <c r="C164" s="652"/>
      <c r="D164" s="652"/>
      <c r="E164" s="652"/>
      <c r="F164" s="652"/>
      <c r="G164" s="652"/>
      <c r="H164" s="652"/>
      <c r="I164" s="652"/>
      <c r="J164" s="652"/>
      <c r="K164" s="652"/>
      <c r="L164" s="657"/>
      <c r="M164" s="657"/>
      <c r="N164" s="657"/>
      <c r="O164" s="652"/>
      <c r="P164" s="652"/>
      <c r="Q164" s="652"/>
      <c r="R164" s="652"/>
      <c r="S164" s="652"/>
      <c r="T164" s="657"/>
      <c r="U164" s="657"/>
      <c r="V164" s="657"/>
      <c r="W164" s="652"/>
      <c r="X164" s="652"/>
      <c r="Y164" s="652"/>
      <c r="Z164" s="652"/>
      <c r="AA164" s="652"/>
      <c r="AB164" s="652"/>
      <c r="AC164" s="652"/>
      <c r="AD164" s="652"/>
      <c r="AE164" s="652"/>
      <c r="AF164" s="652"/>
      <c r="AG164" s="652"/>
      <c r="AH164" s="652"/>
      <c r="AI164" s="652"/>
      <c r="AJ164" s="652"/>
      <c r="AK164" s="652"/>
      <c r="AL164" s="652"/>
      <c r="AM164" s="652"/>
    </row>
    <row r="165" spans="1:39" hidden="1" x14ac:dyDescent="0.2">
      <c r="A165" s="652"/>
      <c r="B165" s="652"/>
      <c r="C165" s="652"/>
      <c r="D165" s="652"/>
      <c r="E165" s="652"/>
      <c r="F165" s="652"/>
      <c r="G165" s="652"/>
      <c r="H165" s="652"/>
      <c r="I165" s="652"/>
      <c r="J165" s="652"/>
      <c r="K165" s="652"/>
      <c r="L165" s="657"/>
      <c r="M165" s="657"/>
      <c r="N165" s="657"/>
      <c r="O165" s="652"/>
      <c r="P165" s="652"/>
      <c r="Q165" s="652"/>
      <c r="R165" s="652"/>
      <c r="S165" s="652"/>
      <c r="T165" s="657"/>
      <c r="U165" s="657"/>
      <c r="V165" s="657"/>
      <c r="W165" s="652"/>
      <c r="X165" s="652"/>
      <c r="Y165" s="652"/>
      <c r="Z165" s="652"/>
      <c r="AA165" s="652"/>
      <c r="AB165" s="652"/>
      <c r="AC165" s="652"/>
      <c r="AD165" s="652"/>
      <c r="AE165" s="652"/>
      <c r="AF165" s="652"/>
      <c r="AG165" s="652"/>
      <c r="AH165" s="652"/>
      <c r="AI165" s="652"/>
      <c r="AJ165" s="652"/>
      <c r="AK165" s="652"/>
      <c r="AL165" s="652"/>
      <c r="AM165" s="652"/>
    </row>
    <row r="166" spans="1:39" hidden="1" x14ac:dyDescent="0.2">
      <c r="A166" s="652"/>
      <c r="B166" s="652"/>
      <c r="C166" s="652"/>
      <c r="D166" s="652"/>
      <c r="E166" s="652"/>
      <c r="F166" s="652"/>
      <c r="G166" s="652"/>
      <c r="H166" s="652"/>
      <c r="I166" s="652"/>
      <c r="J166" s="652"/>
      <c r="K166" s="652"/>
      <c r="L166" s="657"/>
      <c r="M166" s="657"/>
      <c r="N166" s="657"/>
      <c r="O166" s="652"/>
      <c r="P166" s="652"/>
      <c r="Q166" s="652"/>
      <c r="R166" s="652"/>
      <c r="S166" s="652"/>
      <c r="T166" s="657"/>
      <c r="U166" s="657"/>
      <c r="V166" s="657"/>
      <c r="W166" s="652"/>
      <c r="X166" s="652"/>
      <c r="Y166" s="652"/>
      <c r="Z166" s="652"/>
      <c r="AA166" s="652"/>
      <c r="AB166" s="652"/>
      <c r="AC166" s="652"/>
      <c r="AD166" s="652"/>
      <c r="AE166" s="652"/>
      <c r="AF166" s="652"/>
      <c r="AG166" s="652"/>
      <c r="AH166" s="652"/>
      <c r="AI166" s="652"/>
      <c r="AJ166" s="652"/>
      <c r="AK166" s="652"/>
      <c r="AL166" s="652"/>
      <c r="AM166" s="652"/>
    </row>
    <row r="167" spans="1:39" hidden="1" x14ac:dyDescent="0.2">
      <c r="A167" s="652"/>
      <c r="B167" s="652"/>
      <c r="C167" s="652"/>
      <c r="D167" s="652"/>
      <c r="E167" s="652"/>
      <c r="F167" s="652"/>
      <c r="G167" s="652"/>
      <c r="H167" s="652"/>
      <c r="I167" s="652"/>
      <c r="J167" s="652"/>
      <c r="K167" s="652"/>
      <c r="L167" s="657"/>
      <c r="M167" s="657"/>
      <c r="N167" s="657"/>
      <c r="O167" s="652"/>
      <c r="P167" s="652"/>
      <c r="Q167" s="652"/>
      <c r="R167" s="652"/>
      <c r="S167" s="652"/>
      <c r="T167" s="657"/>
      <c r="U167" s="657"/>
      <c r="V167" s="657"/>
      <c r="W167" s="652"/>
      <c r="X167" s="652"/>
      <c r="Y167" s="652"/>
      <c r="Z167" s="652"/>
      <c r="AA167" s="652"/>
      <c r="AB167" s="652"/>
      <c r="AC167" s="652"/>
      <c r="AD167" s="652"/>
      <c r="AE167" s="652"/>
      <c r="AF167" s="652"/>
      <c r="AG167" s="652"/>
      <c r="AH167" s="652"/>
      <c r="AI167" s="652"/>
      <c r="AJ167" s="652"/>
      <c r="AK167" s="652"/>
      <c r="AL167" s="652"/>
      <c r="AM167" s="652"/>
    </row>
    <row r="168" spans="1:39" hidden="1" x14ac:dyDescent="0.2">
      <c r="A168" s="652"/>
      <c r="B168" s="652"/>
      <c r="C168" s="652"/>
      <c r="D168" s="652"/>
      <c r="E168" s="652"/>
      <c r="F168" s="652"/>
      <c r="G168" s="652"/>
      <c r="H168" s="652"/>
      <c r="I168" s="652"/>
      <c r="J168" s="652"/>
      <c r="K168" s="652"/>
      <c r="L168" s="657"/>
      <c r="M168" s="657"/>
      <c r="N168" s="657"/>
      <c r="O168" s="652"/>
      <c r="P168" s="652"/>
      <c r="Q168" s="652"/>
      <c r="R168" s="652"/>
      <c r="S168" s="652"/>
      <c r="T168" s="657"/>
      <c r="U168" s="657"/>
      <c r="V168" s="657"/>
      <c r="W168" s="652"/>
      <c r="X168" s="652"/>
      <c r="Y168" s="652"/>
      <c r="Z168" s="652"/>
      <c r="AA168" s="652"/>
      <c r="AB168" s="652"/>
      <c r="AC168" s="652"/>
      <c r="AD168" s="652"/>
      <c r="AE168" s="652"/>
      <c r="AF168" s="652"/>
      <c r="AG168" s="652"/>
      <c r="AH168" s="652"/>
      <c r="AI168" s="652"/>
      <c r="AJ168" s="652"/>
      <c r="AK168" s="652"/>
      <c r="AL168" s="652"/>
      <c r="AM168" s="652"/>
    </row>
    <row r="169" spans="1:39" hidden="1" x14ac:dyDescent="0.2">
      <c r="A169" s="652"/>
      <c r="B169" s="652"/>
      <c r="C169" s="652"/>
      <c r="D169" s="652"/>
      <c r="E169" s="652"/>
      <c r="F169" s="652"/>
      <c r="G169" s="652"/>
      <c r="H169" s="652"/>
      <c r="I169" s="652"/>
      <c r="J169" s="652"/>
      <c r="K169" s="652"/>
      <c r="L169" s="657"/>
      <c r="M169" s="657"/>
      <c r="N169" s="657"/>
      <c r="O169" s="652"/>
      <c r="P169" s="652"/>
      <c r="Q169" s="652"/>
      <c r="R169" s="652"/>
      <c r="S169" s="652"/>
      <c r="T169" s="657"/>
      <c r="U169" s="657"/>
      <c r="V169" s="657"/>
      <c r="W169" s="652"/>
      <c r="X169" s="652"/>
      <c r="Y169" s="652"/>
      <c r="Z169" s="652"/>
      <c r="AA169" s="652"/>
      <c r="AB169" s="652"/>
      <c r="AC169" s="652"/>
      <c r="AD169" s="652"/>
      <c r="AE169" s="652"/>
      <c r="AF169" s="652"/>
      <c r="AG169" s="652"/>
      <c r="AH169" s="652"/>
      <c r="AI169" s="652"/>
      <c r="AJ169" s="652"/>
      <c r="AK169" s="652"/>
      <c r="AL169" s="652"/>
      <c r="AM169" s="652"/>
    </row>
    <row r="170" spans="1:39" hidden="1" x14ac:dyDescent="0.2">
      <c r="A170" s="652"/>
      <c r="B170" s="652"/>
      <c r="C170" s="652"/>
      <c r="D170" s="652"/>
      <c r="E170" s="652"/>
      <c r="F170" s="652"/>
      <c r="G170" s="652"/>
      <c r="H170" s="652"/>
      <c r="I170" s="652"/>
      <c r="J170" s="652"/>
      <c r="K170" s="652"/>
      <c r="L170" s="657"/>
      <c r="M170" s="657"/>
      <c r="N170" s="657"/>
      <c r="O170" s="652"/>
      <c r="P170" s="652"/>
      <c r="Q170" s="652"/>
      <c r="R170" s="652"/>
      <c r="S170" s="652"/>
      <c r="T170" s="657"/>
      <c r="U170" s="657"/>
      <c r="V170" s="657"/>
      <c r="W170" s="652"/>
      <c r="X170" s="652"/>
      <c r="Y170" s="652"/>
      <c r="Z170" s="652"/>
      <c r="AA170" s="652"/>
      <c r="AB170" s="652"/>
      <c r="AC170" s="652"/>
      <c r="AD170" s="652"/>
      <c r="AE170" s="652"/>
      <c r="AF170" s="652"/>
      <c r="AG170" s="652"/>
      <c r="AH170" s="652"/>
      <c r="AI170" s="652"/>
      <c r="AJ170" s="652"/>
      <c r="AK170" s="652"/>
      <c r="AL170" s="652"/>
      <c r="AM170" s="652"/>
    </row>
    <row r="171" spans="1:39" hidden="1" x14ac:dyDescent="0.2">
      <c r="A171" s="652"/>
      <c r="B171" s="652"/>
      <c r="C171" s="652"/>
      <c r="D171" s="652"/>
      <c r="E171" s="652"/>
      <c r="F171" s="652"/>
      <c r="G171" s="652"/>
      <c r="H171" s="652"/>
      <c r="I171" s="652"/>
      <c r="J171" s="652"/>
      <c r="K171" s="652"/>
      <c r="L171" s="657"/>
      <c r="M171" s="657"/>
      <c r="N171" s="657"/>
      <c r="O171" s="652"/>
      <c r="P171" s="652"/>
      <c r="Q171" s="652"/>
      <c r="R171" s="652"/>
      <c r="S171" s="652"/>
      <c r="T171" s="657"/>
      <c r="U171" s="657"/>
      <c r="V171" s="657"/>
      <c r="W171" s="652"/>
      <c r="X171" s="652"/>
      <c r="Y171" s="652"/>
      <c r="Z171" s="652"/>
      <c r="AA171" s="652"/>
      <c r="AB171" s="652"/>
      <c r="AC171" s="652"/>
      <c r="AD171" s="652"/>
      <c r="AE171" s="652"/>
      <c r="AF171" s="652"/>
      <c r="AG171" s="652"/>
      <c r="AH171" s="652"/>
      <c r="AI171" s="652"/>
      <c r="AJ171" s="652"/>
      <c r="AK171" s="652"/>
      <c r="AL171" s="652"/>
      <c r="AM171" s="652"/>
    </row>
    <row r="172" spans="1:39" hidden="1" x14ac:dyDescent="0.2">
      <c r="A172" s="652"/>
      <c r="B172" s="652"/>
      <c r="C172" s="652"/>
      <c r="D172" s="652"/>
      <c r="E172" s="652"/>
      <c r="F172" s="652"/>
      <c r="G172" s="652"/>
      <c r="H172" s="652"/>
      <c r="I172" s="652"/>
      <c r="J172" s="652"/>
      <c r="K172" s="652"/>
      <c r="L172" s="657"/>
      <c r="M172" s="657"/>
      <c r="N172" s="657"/>
      <c r="O172" s="652"/>
      <c r="P172" s="652"/>
      <c r="Q172" s="652"/>
      <c r="R172" s="652"/>
      <c r="S172" s="652"/>
      <c r="T172" s="657"/>
      <c r="U172" s="657"/>
      <c r="V172" s="657"/>
      <c r="W172" s="652"/>
      <c r="X172" s="652"/>
      <c r="Y172" s="652"/>
      <c r="Z172" s="652"/>
      <c r="AA172" s="652"/>
      <c r="AB172" s="652"/>
      <c r="AC172" s="652"/>
      <c r="AD172" s="652"/>
      <c r="AE172" s="652"/>
      <c r="AF172" s="652"/>
      <c r="AG172" s="652"/>
      <c r="AH172" s="652"/>
      <c r="AI172" s="652"/>
      <c r="AJ172" s="652"/>
      <c r="AK172" s="652"/>
      <c r="AL172" s="652"/>
      <c r="AM172" s="652"/>
    </row>
    <row r="173" spans="1:39" hidden="1" x14ac:dyDescent="0.2">
      <c r="A173" s="652"/>
      <c r="B173" s="652"/>
      <c r="C173" s="652"/>
      <c r="D173" s="652"/>
      <c r="E173" s="652"/>
      <c r="F173" s="652"/>
      <c r="G173" s="652"/>
      <c r="H173" s="652"/>
      <c r="I173" s="652"/>
      <c r="J173" s="652"/>
      <c r="K173" s="652"/>
      <c r="L173" s="657"/>
      <c r="M173" s="657"/>
      <c r="N173" s="657"/>
      <c r="O173" s="652"/>
      <c r="P173" s="652"/>
      <c r="Q173" s="652"/>
      <c r="R173" s="652"/>
      <c r="S173" s="652"/>
      <c r="T173" s="657"/>
      <c r="U173" s="657"/>
      <c r="V173" s="657"/>
      <c r="W173" s="652"/>
      <c r="X173" s="652"/>
      <c r="Y173" s="652"/>
      <c r="Z173" s="652"/>
      <c r="AA173" s="652"/>
      <c r="AB173" s="652"/>
      <c r="AC173" s="652"/>
      <c r="AD173" s="652"/>
      <c r="AE173" s="652"/>
      <c r="AF173" s="652"/>
      <c r="AG173" s="652"/>
      <c r="AH173" s="652"/>
      <c r="AI173" s="652"/>
      <c r="AJ173" s="652"/>
      <c r="AK173" s="652"/>
      <c r="AL173" s="652"/>
      <c r="AM173" s="652"/>
    </row>
    <row r="174" spans="1:39"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652"/>
      <c r="AF174" s="652"/>
      <c r="AG174" s="652"/>
      <c r="AH174" s="652"/>
      <c r="AI174" s="652"/>
      <c r="AJ174" s="652"/>
      <c r="AK174" s="652"/>
      <c r="AL174" s="652"/>
      <c r="AM174" s="652"/>
    </row>
    <row r="175" spans="1:39"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652"/>
      <c r="AF175" s="652"/>
      <c r="AG175" s="652"/>
      <c r="AH175" s="652"/>
      <c r="AI175" s="652"/>
      <c r="AJ175" s="652"/>
      <c r="AK175" s="652"/>
      <c r="AL175" s="652"/>
      <c r="AM175" s="652"/>
    </row>
    <row r="176" spans="1:39"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c r="AI284" s="652"/>
      <c r="AJ284" s="652"/>
      <c r="AK284" s="652"/>
      <c r="AL284" s="652"/>
      <c r="AM284" s="652"/>
    </row>
    <row r="285" spans="1:39" hidden="1" x14ac:dyDescent="0.2">
      <c r="D285" s="698"/>
      <c r="E285" s="698"/>
      <c r="F285" s="652"/>
      <c r="G285" s="652"/>
      <c r="H285" s="652"/>
      <c r="I285" s="652"/>
      <c r="J285" s="652"/>
      <c r="K285" s="652"/>
      <c r="L285" s="652"/>
      <c r="M285" s="652"/>
      <c r="N285" s="652"/>
      <c r="O285" s="652"/>
      <c r="P285" s="652"/>
      <c r="Q285" s="652"/>
      <c r="R285" s="652"/>
      <c r="S285" s="652"/>
      <c r="T285" s="652"/>
      <c r="U285" s="652"/>
      <c r="V285" s="652"/>
      <c r="W285" s="652"/>
      <c r="X285" s="652"/>
      <c r="Y285" s="652"/>
      <c r="Z285" s="652"/>
      <c r="AA285" s="652"/>
      <c r="AB285" s="652"/>
      <c r="AC285" s="652"/>
      <c r="AD285" s="652"/>
      <c r="AE285" s="652"/>
      <c r="AF285" s="652"/>
      <c r="AG285" s="652"/>
      <c r="AH285" s="652"/>
      <c r="AI285" s="652"/>
      <c r="AJ285" s="652"/>
      <c r="AK285" s="652"/>
      <c r="AL285" s="652"/>
      <c r="AM285" s="652"/>
    </row>
    <row r="286" spans="1:39" hidden="1" x14ac:dyDescent="0.2">
      <c r="D286" s="702"/>
      <c r="E286" s="702"/>
      <c r="F286" s="652"/>
      <c r="G286" s="652"/>
      <c r="H286" s="652"/>
      <c r="I286" s="652"/>
      <c r="J286" s="652"/>
      <c r="K286" s="652"/>
      <c r="L286" s="652"/>
      <c r="M286" s="652"/>
      <c r="N286" s="652"/>
      <c r="O286" s="652"/>
      <c r="P286" s="652"/>
      <c r="Q286" s="652"/>
      <c r="R286" s="652"/>
      <c r="S286" s="652"/>
      <c r="T286" s="652"/>
      <c r="U286" s="652"/>
      <c r="V286" s="652"/>
      <c r="W286" s="652"/>
      <c r="X286" s="652"/>
      <c r="Y286" s="652"/>
      <c r="Z286" s="652"/>
      <c r="AA286" s="652"/>
      <c r="AB286" s="652"/>
      <c r="AC286" s="652"/>
      <c r="AD286" s="652"/>
      <c r="AE286" s="652"/>
      <c r="AF286" s="652"/>
      <c r="AG286" s="652"/>
      <c r="AH286" s="652"/>
      <c r="AI286" s="652"/>
      <c r="AJ286" s="652"/>
      <c r="AK286" s="652"/>
      <c r="AL286" s="652"/>
      <c r="AM286" s="652"/>
    </row>
    <row r="287" spans="1:39" hidden="1" x14ac:dyDescent="0.2">
      <c r="D287" s="653"/>
      <c r="E287" s="653"/>
      <c r="F287" s="652"/>
      <c r="G287" s="652"/>
      <c r="H287" s="652"/>
      <c r="I287" s="652"/>
      <c r="J287" s="652"/>
      <c r="K287" s="652"/>
      <c r="L287" s="652"/>
      <c r="M287" s="652"/>
      <c r="N287" s="652"/>
      <c r="O287" s="652"/>
      <c r="P287" s="652"/>
      <c r="Q287" s="652"/>
      <c r="R287" s="652"/>
      <c r="S287" s="652"/>
      <c r="T287" s="652"/>
      <c r="U287" s="652"/>
      <c r="V287" s="652"/>
      <c r="W287" s="703"/>
      <c r="X287" s="652"/>
      <c r="Y287" s="652"/>
      <c r="Z287" s="652"/>
      <c r="AA287" s="652"/>
      <c r="AB287" s="652"/>
      <c r="AC287" s="652"/>
      <c r="AD287" s="652"/>
      <c r="AE287" s="652"/>
      <c r="AF287" s="652"/>
      <c r="AG287" s="652"/>
      <c r="AH287" s="652"/>
      <c r="AI287" s="652"/>
      <c r="AJ287" s="652"/>
      <c r="AK287" s="652"/>
      <c r="AL287" s="652"/>
      <c r="AM287" s="652"/>
    </row>
    <row r="288" spans="1:39" hidden="1" x14ac:dyDescent="0.2">
      <c r="D288" s="653"/>
      <c r="E288" s="653"/>
      <c r="F288" s="652"/>
      <c r="G288" s="652"/>
      <c r="H288" s="652"/>
      <c r="I288" s="652"/>
      <c r="J288" s="652"/>
      <c r="K288" s="652"/>
      <c r="L288" s="652"/>
      <c r="M288" s="652"/>
      <c r="N288" s="652"/>
      <c r="O288" s="652"/>
      <c r="P288" s="652"/>
      <c r="Q288" s="652"/>
      <c r="R288" s="652"/>
      <c r="S288" s="652"/>
      <c r="T288" s="652"/>
      <c r="U288" s="652"/>
      <c r="V288" s="652"/>
      <c r="W288" s="652"/>
      <c r="X288" s="652"/>
      <c r="Y288" s="652"/>
      <c r="Z288" s="652"/>
      <c r="AA288" s="652"/>
      <c r="AB288" s="652"/>
      <c r="AC288" s="652"/>
      <c r="AD288" s="652"/>
      <c r="AE288" s="652"/>
      <c r="AF288" s="652"/>
      <c r="AG288" s="652"/>
      <c r="AH288" s="652"/>
      <c r="AI288" s="652"/>
      <c r="AJ288" s="652"/>
      <c r="AK288" s="652"/>
      <c r="AL288" s="652"/>
      <c r="AM288" s="652"/>
    </row>
    <row r="289" spans="1:39" hidden="1" x14ac:dyDescent="0.2">
      <c r="D289" s="653"/>
      <c r="E289" s="653"/>
      <c r="F289" s="652"/>
      <c r="G289" s="652"/>
      <c r="H289" s="652"/>
      <c r="I289" s="652"/>
      <c r="J289" s="652"/>
      <c r="K289" s="652"/>
      <c r="L289" s="652"/>
      <c r="M289" s="652"/>
      <c r="N289" s="652"/>
      <c r="O289" s="652"/>
      <c r="P289" s="652"/>
      <c r="Q289" s="652"/>
      <c r="R289" s="652"/>
      <c r="S289" s="652"/>
      <c r="T289" s="652"/>
      <c r="U289" s="652"/>
      <c r="V289" s="652"/>
      <c r="W289" s="652"/>
      <c r="X289" s="652"/>
      <c r="Y289" s="652"/>
      <c r="Z289" s="652"/>
      <c r="AA289" s="652"/>
      <c r="AB289" s="652"/>
      <c r="AC289" s="652"/>
      <c r="AD289" s="652"/>
      <c r="AE289" s="652"/>
      <c r="AF289" s="652"/>
      <c r="AG289" s="652"/>
      <c r="AH289" s="652"/>
      <c r="AI289" s="652"/>
      <c r="AJ289" s="652"/>
      <c r="AK289" s="652"/>
      <c r="AL289" s="652"/>
      <c r="AM289" s="652"/>
    </row>
    <row r="290" spans="1:39" hidden="1" x14ac:dyDescent="0.2">
      <c r="D290" s="653"/>
      <c r="E290" s="653"/>
      <c r="F290" s="65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c r="AI290" s="652"/>
      <c r="AJ290" s="652"/>
      <c r="AK290" s="652"/>
      <c r="AL290" s="652"/>
      <c r="AM290" s="652"/>
    </row>
    <row r="291" spans="1:39" hidden="1" x14ac:dyDescent="0.2">
      <c r="D291" s="653"/>
      <c r="E291" s="653"/>
      <c r="F291" s="652"/>
      <c r="G291" s="652"/>
      <c r="H291" s="652"/>
      <c r="I291" s="652"/>
      <c r="J291" s="652"/>
      <c r="K291" s="652"/>
      <c r="L291" s="652"/>
      <c r="M291" s="652"/>
      <c r="N291" s="652"/>
      <c r="O291" s="652"/>
      <c r="P291" s="652"/>
      <c r="Q291" s="652"/>
      <c r="R291" s="652"/>
      <c r="S291" s="652"/>
      <c r="T291" s="652"/>
      <c r="U291" s="652"/>
      <c r="V291" s="652"/>
      <c r="W291" s="652"/>
      <c r="X291" s="652"/>
      <c r="Y291" s="652"/>
      <c r="Z291" s="652"/>
      <c r="AA291" s="652"/>
      <c r="AB291" s="652"/>
      <c r="AC291" s="652"/>
      <c r="AD291" s="652"/>
      <c r="AE291" s="652"/>
      <c r="AF291" s="652"/>
      <c r="AG291" s="652"/>
      <c r="AH291" s="652"/>
      <c r="AI291" s="652"/>
      <c r="AJ291" s="652"/>
      <c r="AK291" s="652"/>
      <c r="AL291" s="652"/>
      <c r="AM291" s="652"/>
    </row>
    <row r="292" spans="1:39" hidden="1" x14ac:dyDescent="0.2">
      <c r="D292" s="653"/>
      <c r="E292" s="653"/>
      <c r="F292" s="652"/>
      <c r="G292" s="652"/>
      <c r="H292" s="652"/>
      <c r="I292" s="652"/>
      <c r="J292" s="652"/>
      <c r="K292" s="652"/>
      <c r="L292" s="652"/>
      <c r="M292" s="652"/>
      <c r="N292" s="652"/>
      <c r="O292" s="652"/>
      <c r="P292" s="652"/>
      <c r="Q292" s="652"/>
      <c r="R292" s="652"/>
      <c r="S292" s="652"/>
      <c r="T292" s="652"/>
      <c r="U292" s="652"/>
      <c r="V292" s="652"/>
      <c r="W292" s="703"/>
      <c r="X292" s="652"/>
      <c r="Y292" s="652"/>
      <c r="Z292" s="652"/>
      <c r="AA292" s="652"/>
      <c r="AB292" s="652"/>
      <c r="AC292" s="652"/>
      <c r="AD292" s="652"/>
      <c r="AE292" s="652"/>
      <c r="AF292" s="652"/>
      <c r="AG292" s="652"/>
      <c r="AH292" s="652"/>
      <c r="AI292" s="652"/>
      <c r="AJ292" s="652"/>
      <c r="AK292" s="652"/>
      <c r="AL292" s="652"/>
      <c r="AM292" s="652"/>
    </row>
    <row r="293" spans="1:39" hidden="1" x14ac:dyDescent="0.2">
      <c r="D293" s="653"/>
      <c r="E293" s="653"/>
      <c r="F293" s="65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652"/>
      <c r="AI293" s="652"/>
      <c r="AJ293" s="652"/>
      <c r="AK293" s="652"/>
      <c r="AL293" s="652"/>
      <c r="AM293" s="652"/>
    </row>
    <row r="294" spans="1:39" hidden="1" x14ac:dyDescent="0.2">
      <c r="D294" s="653"/>
      <c r="E294" s="653"/>
      <c r="F294" s="652"/>
      <c r="G294" s="652"/>
      <c r="H294" s="652"/>
      <c r="I294" s="652"/>
      <c r="J294" s="652"/>
      <c r="K294" s="652"/>
      <c r="L294" s="652"/>
      <c r="M294" s="652"/>
      <c r="N294" s="652"/>
      <c r="O294" s="652"/>
      <c r="P294" s="652"/>
      <c r="Q294" s="652"/>
      <c r="R294" s="652"/>
      <c r="S294" s="652"/>
      <c r="T294" s="652"/>
      <c r="U294" s="652"/>
      <c r="V294" s="652"/>
      <c r="W294" s="652"/>
      <c r="X294" s="652"/>
      <c r="Y294" s="652"/>
      <c r="Z294" s="652"/>
      <c r="AA294" s="652"/>
      <c r="AB294" s="652"/>
      <c r="AC294" s="652"/>
      <c r="AD294" s="652"/>
      <c r="AE294" s="652"/>
      <c r="AF294" s="652"/>
      <c r="AG294" s="652"/>
      <c r="AH294" s="652"/>
      <c r="AI294" s="652"/>
      <c r="AJ294" s="652"/>
      <c r="AK294" s="652"/>
      <c r="AL294" s="652"/>
      <c r="AM294" s="652"/>
    </row>
    <row r="295" spans="1:39" hidden="1" x14ac:dyDescent="0.2">
      <c r="D295" s="653"/>
      <c r="E295" s="653"/>
      <c r="F295" s="652"/>
      <c r="G295" s="652"/>
      <c r="H295" s="652"/>
      <c r="I295" s="65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652"/>
      <c r="AF295" s="652"/>
      <c r="AG295" s="652"/>
      <c r="AH295" s="652"/>
      <c r="AI295" s="652"/>
      <c r="AJ295" s="652"/>
      <c r="AK295" s="652"/>
      <c r="AL295" s="652"/>
      <c r="AM295" s="652"/>
    </row>
    <row r="296" spans="1:39" hidden="1" x14ac:dyDescent="0.2"/>
    <row r="297" spans="1:39" hidden="1" x14ac:dyDescent="0.2"/>
    <row r="299" spans="1:39" x14ac:dyDescent="0.2">
      <c r="A299" s="652"/>
      <c r="B299" s="652"/>
      <c r="C299" s="697" t="s">
        <v>182</v>
      </c>
    </row>
    <row r="300" spans="1:39" x14ac:dyDescent="0.2">
      <c r="A300" s="699">
        <v>1</v>
      </c>
      <c r="B300" s="700" t="str">
        <f t="shared" ref="B300:B309" si="10">IFERROR(INDEX(B$1:B$86,MATCH(A300,A$1:A$86,0)),"")</f>
        <v>Kenneth Muusikus, Urmas Jõeäär</v>
      </c>
      <c r="C300" s="701">
        <f t="shared" ref="C300:C308" si="11">IF(21-A300&gt;0,IF(OR(A300=A301,A299=A300),21-A300-0.5,21-A300),1)</f>
        <v>20</v>
      </c>
    </row>
    <row r="301" spans="1:39" x14ac:dyDescent="0.2">
      <c r="A301" s="699">
        <v>2</v>
      </c>
      <c r="B301" s="700" t="str">
        <f t="shared" si="10"/>
        <v>Jaan Sepp, Oskar Sepp</v>
      </c>
      <c r="C301" s="701">
        <f t="shared" si="11"/>
        <v>19</v>
      </c>
    </row>
    <row r="302" spans="1:39" x14ac:dyDescent="0.2">
      <c r="A302" s="699">
        <v>3</v>
      </c>
      <c r="B302" s="700" t="str">
        <f t="shared" si="10"/>
        <v>Elmo Lageda, Tõnu Piik</v>
      </c>
      <c r="C302" s="701">
        <f t="shared" si="11"/>
        <v>18</v>
      </c>
    </row>
    <row r="303" spans="1:39" x14ac:dyDescent="0.2">
      <c r="A303" s="699">
        <v>4</v>
      </c>
      <c r="B303" s="700" t="str">
        <f t="shared" si="10"/>
        <v>Oksana Rõndenkova, Oleg Rõndenkov</v>
      </c>
      <c r="C303" s="701">
        <f t="shared" si="11"/>
        <v>17</v>
      </c>
    </row>
    <row r="304" spans="1:39" x14ac:dyDescent="0.2">
      <c r="A304" s="699">
        <v>5</v>
      </c>
      <c r="B304" s="700" t="str">
        <f t="shared" si="10"/>
        <v>Kaspar Mänd, Tarmo Bombe</v>
      </c>
      <c r="C304" s="701">
        <f t="shared" si="11"/>
        <v>16</v>
      </c>
    </row>
    <row r="305" spans="1:3" x14ac:dyDescent="0.2">
      <c r="A305" s="699">
        <v>6</v>
      </c>
      <c r="B305" s="700" t="str">
        <f t="shared" si="10"/>
        <v>Aarne Välja, Janek Tarto</v>
      </c>
      <c r="C305" s="701">
        <f t="shared" si="11"/>
        <v>15</v>
      </c>
    </row>
    <row r="306" spans="1:3" x14ac:dyDescent="0.2">
      <c r="A306" s="699">
        <v>7</v>
      </c>
      <c r="B306" s="700" t="str">
        <f t="shared" si="10"/>
        <v>Henri Mitt, Urmas Randlaine</v>
      </c>
      <c r="C306" s="701">
        <f t="shared" si="11"/>
        <v>14</v>
      </c>
    </row>
    <row r="307" spans="1:3" x14ac:dyDescent="0.2">
      <c r="A307" s="699">
        <v>8</v>
      </c>
      <c r="B307" s="700" t="str">
        <f t="shared" si="10"/>
        <v>Karla Purgats, Lemmit Toomra</v>
      </c>
      <c r="C307" s="701">
        <f t="shared" si="11"/>
        <v>13</v>
      </c>
    </row>
    <row r="308" spans="1:3" x14ac:dyDescent="0.2">
      <c r="A308" s="699">
        <v>9</v>
      </c>
      <c r="B308" s="700" t="str">
        <f t="shared" si="10"/>
        <v>Andrei Grintšak, Boriss Klubov</v>
      </c>
      <c r="C308" s="701">
        <f t="shared" si="11"/>
        <v>12</v>
      </c>
    </row>
    <row r="309" spans="1:3" x14ac:dyDescent="0.2">
      <c r="A309" s="699">
        <v>10</v>
      </c>
      <c r="B309" s="700" t="str">
        <f t="shared" si="10"/>
        <v>Jaan Saar, Liidia Põllu</v>
      </c>
      <c r="C309" s="701">
        <f>IF(21-A309&gt;0,IF(OR(A309=A296,A308=A309),21-A309-0.5,21-A309),1)</f>
        <v>11</v>
      </c>
    </row>
  </sheetData>
  <conditionalFormatting sqref="C8:C17">
    <cfRule type="expression" dxfId="229" priority="18">
      <formula>IF($C8&gt;$E8,TRUE)</formula>
    </cfRule>
  </conditionalFormatting>
  <conditionalFormatting sqref="E8:E17">
    <cfRule type="expression" dxfId="228" priority="19">
      <formula>IF($C8&lt;$E8,TRUE)</formula>
    </cfRule>
  </conditionalFormatting>
  <conditionalFormatting sqref="K8:K17">
    <cfRule type="expression" dxfId="227" priority="26">
      <formula>IF($K8&gt;$M8,TRUE)</formula>
    </cfRule>
  </conditionalFormatting>
  <conditionalFormatting sqref="M8:M17">
    <cfRule type="expression" dxfId="226" priority="27">
      <formula>IF($K8&lt;$M8,TRUE)</formula>
    </cfRule>
  </conditionalFormatting>
  <conditionalFormatting sqref="O8:O17">
    <cfRule type="expression" dxfId="225" priority="30">
      <formula>IF($O8&gt;$Q8,TRUE)</formula>
    </cfRule>
  </conditionalFormatting>
  <conditionalFormatting sqref="Q8:Q17">
    <cfRule type="expression" dxfId="224" priority="31">
      <formula>IF($O8&lt;$Q8,TRUE)</formula>
    </cfRule>
  </conditionalFormatting>
  <conditionalFormatting sqref="S8:S17">
    <cfRule type="expression" dxfId="223" priority="34">
      <formula>IF($S8&gt;$U8,TRUE)</formula>
    </cfRule>
  </conditionalFormatting>
  <conditionalFormatting sqref="U8:U17">
    <cfRule type="expression" dxfId="222" priority="35">
      <formula>IF($S8&lt;$U8,TRUE)</formula>
    </cfRule>
  </conditionalFormatting>
  <conditionalFormatting sqref="G8:G17">
    <cfRule type="expression" dxfId="221" priority="22">
      <formula>IF($G8&gt;$I8,TRUE)</formula>
    </cfRule>
  </conditionalFormatting>
  <conditionalFormatting sqref="I8:I17">
    <cfRule type="expression" dxfId="220" priority="23">
      <formula>IF($G8&lt;$I8,TRUE)</formula>
    </cfRule>
  </conditionalFormatting>
  <conditionalFormatting sqref="F8:F17">
    <cfRule type="containsText" dxfId="219" priority="9" operator="containsText" text="vaba voor">
      <formula>NOT(ISERROR(SEARCH("vaba voor",F8)))</formula>
    </cfRule>
  </conditionalFormatting>
  <conditionalFormatting sqref="N8:N17">
    <cfRule type="containsText" dxfId="218" priority="7" operator="containsText" text="vaba voor">
      <formula>NOT(ISERROR(SEARCH("vaba voor",N8)))</formula>
    </cfRule>
  </conditionalFormatting>
  <conditionalFormatting sqref="R8:R17">
    <cfRule type="containsText" dxfId="217" priority="10" operator="containsText" text="vaba voor">
      <formula>NOT(ISERROR(SEARCH("vaba voor",R8)))</formula>
    </cfRule>
  </conditionalFormatting>
  <conditionalFormatting sqref="V8:V17">
    <cfRule type="containsText" dxfId="216" priority="6" operator="containsText" text="vaba voor">
      <formula>NOT(ISERROR(SEARCH("vaba voor",V8)))</formula>
    </cfRule>
  </conditionalFormatting>
  <conditionalFormatting sqref="J8:J17">
    <cfRule type="containsText" dxfId="215" priority="8" operator="containsText" text="vaba voor">
      <formula>NOT(ISERROR(SEARCH("vaba voor",J8)))</formula>
    </cfRule>
  </conditionalFormatting>
  <conditionalFormatting sqref="C8:F17">
    <cfRule type="expression" dxfId="214" priority="14">
      <formula>IF(AND(ISNUMBER($C8),$C8=$E8),TRUE)</formula>
    </cfRule>
    <cfRule type="expression" dxfId="213" priority="16">
      <formula>IF($C8&gt;$E8,TRUE)</formula>
    </cfRule>
    <cfRule type="expression" dxfId="212" priority="17">
      <formula>IF($C8&lt;$E8,TRUE)</formula>
    </cfRule>
  </conditionalFormatting>
  <conditionalFormatting sqref="G8:J17">
    <cfRule type="expression" dxfId="211" priority="15">
      <formula>IF(AND(ISNUMBER($G8),$G8=$I8),TRUE)</formula>
    </cfRule>
    <cfRule type="expression" dxfId="210" priority="20">
      <formula>IF($G8&gt;$I8,TRUE)</formula>
    </cfRule>
    <cfRule type="expression" dxfId="209" priority="21">
      <formula>IF($G8&lt;$I8,TRUE)</formula>
    </cfRule>
  </conditionalFormatting>
  <conditionalFormatting sqref="K8:N17">
    <cfRule type="expression" dxfId="208" priority="13">
      <formula>IF(AND(ISNUMBER($K8),$K8=$M8),TRUE)</formula>
    </cfRule>
    <cfRule type="expression" dxfId="207" priority="24">
      <formula>IF($K8&gt;$M8,TRUE)</formula>
    </cfRule>
    <cfRule type="expression" dxfId="206" priority="25">
      <formula>IF($K8&lt;$M8,TRUE)</formula>
    </cfRule>
  </conditionalFormatting>
  <conditionalFormatting sqref="O8:R17">
    <cfRule type="expression" dxfId="205" priority="12">
      <formula>IF(AND(ISNUMBER($O8),$O8=$Q8),TRUE)</formula>
    </cfRule>
    <cfRule type="expression" dxfId="204" priority="28">
      <formula>IF($O8&gt;$Q8,TRUE)</formula>
    </cfRule>
    <cfRule type="expression" dxfId="203" priority="29">
      <formula>IF($O8&lt;$Q8,TRUE)</formula>
    </cfRule>
  </conditionalFormatting>
  <conditionalFormatting sqref="S8:V17">
    <cfRule type="expression" dxfId="202" priority="11">
      <formula>IF(AND(ISNUMBER($S8),$S8=$U8),TRUE)</formula>
    </cfRule>
    <cfRule type="expression" dxfId="201" priority="32">
      <formula>IF($S8&gt;$U8,TRUE)</formula>
    </cfRule>
    <cfRule type="expression" dxfId="200" priority="33">
      <formula>IF($S8&lt;$U8,TRUE)</formula>
    </cfRule>
  </conditionalFormatting>
  <conditionalFormatting sqref="C8:C17 G8:G17 K8:K17 O8:O17 S8:S17">
    <cfRule type="expression" dxfId="199" priority="4">
      <formula>AND(C8=0,E8=13)</formula>
    </cfRule>
  </conditionalFormatting>
  <conditionalFormatting sqref="E8:E17 I8:I17 M8:M17 Q8:Q17 U8:U17">
    <cfRule type="expression" dxfId="198" priority="5">
      <formula>AND(E8=0,C8=13)</formula>
    </cfRule>
  </conditionalFormatting>
  <conditionalFormatting sqref="AF8:AF17 AJ8:AJ17 AL8:AL17">
    <cfRule type="expression" dxfId="197" priority="1">
      <formula>AND(AE8="",COUNTIF(AF8,"*,*")=0)</formula>
    </cfRule>
  </conditionalFormatting>
  <conditionalFormatting sqref="AH8:AH17">
    <cfRule type="expression" dxfId="196" priority="2">
      <formula>AND(AG8="",FIND(",",AH8))</formula>
    </cfRule>
    <cfRule type="expression" dxfId="195" priority="3">
      <formula>AND(AG8="",COUNTIF(AH8,"*,*")=0)</formula>
    </cfRule>
  </conditionalFormatting>
  <conditionalFormatting sqref="A300:A309">
    <cfRule type="duplicateValues" dxfId="194" priority="112"/>
  </conditionalFormatting>
  <conditionalFormatting sqref="A8:A17">
    <cfRule type="duplicateValues" dxfId="193" priority="125"/>
  </conditionalFormatting>
  <conditionalFormatting sqref="B300:B309">
    <cfRule type="expression" dxfId="192" priority="139">
      <formula>A300=3</formula>
    </cfRule>
    <cfRule type="expression" dxfId="191" priority="140">
      <formula>A300=2</formula>
    </cfRule>
    <cfRule type="expression" dxfId="190" priority="141">
      <formula>A300=1</formula>
    </cfRule>
    <cfRule type="containsBlanks" dxfId="189" priority="142">
      <formula>LEN(TRIM(B300))=0</formula>
    </cfRule>
    <cfRule type="duplicateValues" dxfId="188" priority="143"/>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CC00"/>
    <pageSetUpPr fitToPage="1"/>
  </sheetPr>
  <dimension ref="A1:AK84"/>
  <sheetViews>
    <sheetView showGridLines="0" showRowColHeaders="0" zoomScaleNormal="100" workbookViewId="0">
      <pane ySplit="7" topLeftCell="A8" activePane="bottomLeft" state="frozen"/>
      <selection pane="bottomLeft" activeCell="R1" sqref="R1"/>
    </sheetView>
  </sheetViews>
  <sheetFormatPr defaultRowHeight="12.75" x14ac:dyDescent="0.2"/>
  <cols>
    <col min="1" max="1" width="3.28515625" customWidth="1"/>
    <col min="2" max="2" width="3.28515625" hidden="1" customWidth="1"/>
    <col min="3" max="3" width="3.28515625" customWidth="1"/>
    <col min="4" max="4" width="3.28515625" hidden="1" customWidth="1"/>
    <col min="5" max="5" width="3.7109375" customWidth="1"/>
    <col min="6" max="6" width="23.28515625" customWidth="1"/>
    <col min="7" max="7" width="2.28515625" hidden="1" customWidth="1"/>
    <col min="8" max="8" width="1.85546875" hidden="1" customWidth="1"/>
    <col min="9" max="9" width="5.7109375" customWidth="1"/>
    <col min="10" max="10" width="26.5703125" hidden="1" customWidth="1"/>
    <col min="11" max="11" width="28.5703125" hidden="1" customWidth="1"/>
    <col min="12" max="12" width="10.85546875" hidden="1" customWidth="1"/>
    <col min="13" max="13" width="8.5703125" hidden="1" customWidth="1"/>
    <col min="14" max="14" width="32.28515625" hidden="1" customWidth="1"/>
    <col min="15" max="15" width="10.7109375" hidden="1" customWidth="1"/>
    <col min="16" max="16" width="3.5703125" bestFit="1" customWidth="1"/>
    <col min="17" max="17" width="3.28515625" bestFit="1" customWidth="1"/>
    <col min="18" max="18" width="3.5703125" bestFit="1" customWidth="1"/>
    <col min="19" max="21" width="3.28515625" bestFit="1" customWidth="1"/>
    <col min="22" max="22" width="3.85546875" bestFit="1" customWidth="1"/>
    <col min="23" max="23" width="3.28515625" bestFit="1" customWidth="1"/>
    <col min="24" max="25" width="3.5703125" bestFit="1" customWidth="1"/>
    <col min="26" max="29" width="3.28515625" bestFit="1" customWidth="1"/>
    <col min="30" max="32" width="3.28515625" customWidth="1"/>
    <col min="33" max="33" width="10.28515625" hidden="1" customWidth="1"/>
    <col min="34" max="34" width="10.5703125" hidden="1" customWidth="1"/>
    <col min="35" max="35" width="12" hidden="1" customWidth="1"/>
    <col min="36" max="36" width="14.28515625" hidden="1" customWidth="1"/>
  </cols>
  <sheetData>
    <row r="1" spans="1:37" x14ac:dyDescent="0.2">
      <c r="A1" s="412"/>
      <c r="B1" s="413"/>
      <c r="C1" s="60"/>
      <c r="D1" s="414"/>
      <c r="E1" s="60" t="s">
        <v>180</v>
      </c>
      <c r="F1" s="415"/>
      <c r="G1" s="416"/>
      <c r="H1" s="416"/>
      <c r="I1" s="415"/>
      <c r="J1" s="417" t="s">
        <v>181</v>
      </c>
      <c r="K1" s="418"/>
      <c r="L1" s="418"/>
      <c r="M1" s="418"/>
      <c r="N1" s="418"/>
      <c r="O1" s="418"/>
      <c r="P1" s="419"/>
      <c r="Q1" s="420"/>
      <c r="R1" s="415"/>
      <c r="S1" s="415"/>
      <c r="T1" s="415"/>
      <c r="U1" s="415"/>
      <c r="V1" s="415"/>
      <c r="W1" s="415"/>
      <c r="X1" s="421"/>
      <c r="Y1" s="415"/>
      <c r="Z1" s="415"/>
      <c r="AC1" s="422" t="s">
        <v>182</v>
      </c>
      <c r="AD1" s="424"/>
      <c r="AE1" s="425" t="s">
        <v>183</v>
      </c>
      <c r="AF1" s="425"/>
      <c r="AG1" s="417" t="s">
        <v>181</v>
      </c>
      <c r="AH1" s="511"/>
      <c r="AI1" s="413"/>
      <c r="AJ1" s="413"/>
      <c r="AK1" s="412"/>
    </row>
    <row r="2" spans="1:37" x14ac:dyDescent="0.2">
      <c r="A2" s="412"/>
      <c r="B2" s="412"/>
      <c r="C2" s="426"/>
      <c r="D2" s="426"/>
      <c r="E2" s="426" t="s">
        <v>96</v>
      </c>
      <c r="F2" s="427"/>
      <c r="G2" s="428"/>
      <c r="H2" s="428"/>
      <c r="I2" s="427"/>
      <c r="J2" s="427"/>
      <c r="K2" s="427"/>
      <c r="L2" s="427"/>
      <c r="M2" s="427"/>
      <c r="N2" s="427"/>
      <c r="O2" s="427"/>
      <c r="P2" s="427"/>
      <c r="Q2" s="427"/>
      <c r="R2" s="427"/>
      <c r="S2" s="427"/>
      <c r="T2" s="427"/>
      <c r="U2" s="427"/>
      <c r="V2" s="427"/>
      <c r="W2" s="427"/>
      <c r="X2" s="427"/>
      <c r="Y2" s="427"/>
      <c r="Z2" s="427"/>
      <c r="AA2" s="427"/>
      <c r="AB2" s="427"/>
      <c r="AC2" s="427"/>
      <c r="AD2" s="412"/>
      <c r="AE2" s="413" t="s">
        <v>184</v>
      </c>
      <c r="AF2" s="413"/>
      <c r="AG2" s="412"/>
      <c r="AH2" s="412"/>
      <c r="AI2" s="412"/>
      <c r="AJ2" s="412"/>
      <c r="AK2" s="412"/>
    </row>
    <row r="3" spans="1:37" x14ac:dyDescent="0.2">
      <c r="A3" s="412"/>
      <c r="B3" s="412"/>
      <c r="C3" s="427"/>
      <c r="D3" s="427"/>
      <c r="E3" s="412"/>
      <c r="F3" s="427"/>
      <c r="G3" s="429"/>
      <c r="H3" s="429"/>
      <c r="I3" s="427"/>
      <c r="J3" s="427"/>
      <c r="K3" s="427"/>
      <c r="L3" s="427"/>
      <c r="M3" s="427"/>
      <c r="N3" s="427"/>
      <c r="O3" s="427"/>
      <c r="P3" s="427"/>
      <c r="Q3" s="427"/>
      <c r="R3" s="427"/>
      <c r="S3" s="427"/>
      <c r="T3" s="427"/>
      <c r="U3" s="427"/>
      <c r="V3" s="427"/>
      <c r="W3" s="427"/>
      <c r="X3" s="427"/>
      <c r="Y3" s="427"/>
      <c r="Z3" s="427"/>
      <c r="AA3" s="427"/>
      <c r="AB3" s="427"/>
      <c r="AC3" s="427"/>
      <c r="AD3" s="412"/>
      <c r="AE3" s="430" t="s">
        <v>185</v>
      </c>
      <c r="AF3" s="430"/>
      <c r="AG3" s="412"/>
      <c r="AH3" s="412"/>
      <c r="AI3" s="412"/>
      <c r="AJ3" s="412"/>
      <c r="AK3" s="412"/>
    </row>
    <row r="4" spans="1:37" ht="57" x14ac:dyDescent="0.2">
      <c r="A4" s="431"/>
      <c r="B4" s="431"/>
      <c r="C4" s="431"/>
      <c r="D4" s="431"/>
      <c r="E4" s="432"/>
      <c r="F4" s="432"/>
      <c r="G4" s="433"/>
      <c r="H4" s="433"/>
      <c r="I4" s="431"/>
      <c r="J4" s="434" t="s">
        <v>186</v>
      </c>
      <c r="K4" s="434" t="s">
        <v>187</v>
      </c>
      <c r="L4" s="435" t="s">
        <v>188</v>
      </c>
      <c r="M4" s="436" t="s">
        <v>189</v>
      </c>
      <c r="N4" s="436" t="s">
        <v>190</v>
      </c>
      <c r="O4" s="437" t="s">
        <v>191</v>
      </c>
      <c r="P4" s="438" t="s">
        <v>192</v>
      </c>
      <c r="Q4" s="438" t="s">
        <v>192</v>
      </c>
      <c r="R4" s="439" t="s">
        <v>193</v>
      </c>
      <c r="S4" s="439" t="s">
        <v>193</v>
      </c>
      <c r="T4" s="438" t="s">
        <v>192</v>
      </c>
      <c r="U4" s="440" t="s">
        <v>194</v>
      </c>
      <c r="V4" s="440" t="s">
        <v>194</v>
      </c>
      <c r="W4" s="441" t="s">
        <v>195</v>
      </c>
      <c r="X4" s="440" t="s">
        <v>194</v>
      </c>
      <c r="Y4" s="441" t="s">
        <v>195</v>
      </c>
      <c r="Z4" s="441" t="s">
        <v>195</v>
      </c>
      <c r="AA4" s="439" t="s">
        <v>193</v>
      </c>
      <c r="AB4" s="442" t="s">
        <v>196</v>
      </c>
      <c r="AC4" s="440" t="s">
        <v>194</v>
      </c>
      <c r="AD4" s="412"/>
      <c r="AE4" s="412"/>
      <c r="AF4" s="412"/>
      <c r="AG4" s="412"/>
      <c r="AH4" s="412"/>
      <c r="AI4" s="412"/>
      <c r="AJ4" s="412"/>
      <c r="AK4" s="412"/>
    </row>
    <row r="5" spans="1:37" ht="29.25" x14ac:dyDescent="0.2">
      <c r="A5" s="431"/>
      <c r="B5" s="431"/>
      <c r="C5" s="431"/>
      <c r="D5" s="431"/>
      <c r="E5" s="432"/>
      <c r="F5" s="432"/>
      <c r="G5" s="433"/>
      <c r="H5" s="433"/>
      <c r="I5" s="443"/>
      <c r="J5" s="443"/>
      <c r="K5" s="443"/>
      <c r="L5" s="443"/>
      <c r="M5" s="443"/>
      <c r="N5" s="443"/>
      <c r="O5" s="443"/>
      <c r="P5" s="444" t="str">
        <f>MID(Kalend!$A6,4,5)</f>
        <v>05.05</v>
      </c>
      <c r="Q5" s="444" t="str">
        <f>MID(Kalend!$A10,4,5)</f>
        <v>16.05</v>
      </c>
      <c r="R5" s="444" t="str">
        <f>MID(Kalend!$A11,4,5)</f>
        <v>19.05</v>
      </c>
      <c r="S5" s="444" t="str">
        <f>MID(Kalend!$A17,4,5)</f>
        <v>02.06</v>
      </c>
      <c r="T5" s="444" t="str">
        <f>MID(Kalend!$A19,4,5)</f>
        <v>13.06</v>
      </c>
      <c r="U5" s="444" t="str">
        <f>MID(Kalend!$A25,4,5)</f>
        <v>30.06</v>
      </c>
      <c r="V5" s="444" t="str">
        <f>MID(Kalend!$A28,4,5)</f>
        <v>10.07</v>
      </c>
      <c r="W5" s="444" t="str">
        <f>MID(Kalend!$A30,4,5)</f>
        <v>24.07</v>
      </c>
      <c r="X5" s="444" t="str">
        <f>MID(Kalend!$A32,4,5)</f>
        <v>ust 2</v>
      </c>
      <c r="Y5" s="444" t="str">
        <f>MID(Kalend!$A34,4,5)</f>
        <v>07.08</v>
      </c>
      <c r="Z5" s="444" t="str">
        <f>MID(Kalend!$A36,4,5)</f>
        <v>21.08</v>
      </c>
      <c r="AA5" s="444" t="str">
        <f>MID(Kalend!$A38,4,5)</f>
        <v>tembe</v>
      </c>
      <c r="AB5" s="444" t="str">
        <f>MID(Kalend!$A40,4,5)</f>
        <v>04.09</v>
      </c>
      <c r="AC5" s="444" t="str">
        <f>MID(Kalend!$A42,4,5)</f>
        <v>18.09</v>
      </c>
      <c r="AD5" s="1110" t="s">
        <v>197</v>
      </c>
      <c r="AE5" s="1111" t="s">
        <v>198</v>
      </c>
      <c r="AF5" s="1112" t="s">
        <v>199</v>
      </c>
      <c r="AG5" s="412"/>
      <c r="AH5" s="412"/>
      <c r="AI5" s="412"/>
      <c r="AJ5" s="412"/>
      <c r="AK5" s="412"/>
    </row>
    <row r="6" spans="1:37" x14ac:dyDescent="0.2">
      <c r="A6" s="445"/>
      <c r="B6" s="446"/>
      <c r="C6" s="447"/>
      <c r="D6" s="447"/>
      <c r="E6" s="448" t="s">
        <v>200</v>
      </c>
      <c r="F6" s="432"/>
      <c r="G6" s="433"/>
      <c r="H6" s="433"/>
      <c r="I6" s="449" t="s">
        <v>201</v>
      </c>
      <c r="J6" s="450"/>
      <c r="K6" s="450"/>
      <c r="L6" s="450"/>
      <c r="M6" s="450"/>
      <c r="N6" s="450"/>
      <c r="O6" s="450"/>
      <c r="P6" s="451" t="s">
        <v>202</v>
      </c>
      <c r="Q6" s="451" t="s">
        <v>203</v>
      </c>
      <c r="R6" s="451" t="s">
        <v>202</v>
      </c>
      <c r="S6" s="451" t="s">
        <v>203</v>
      </c>
      <c r="T6" s="451" t="s">
        <v>204</v>
      </c>
      <c r="U6" s="451" t="s">
        <v>203</v>
      </c>
      <c r="V6" s="451" t="s">
        <v>145</v>
      </c>
      <c r="W6" s="451" t="s">
        <v>203</v>
      </c>
      <c r="X6" s="451" t="s">
        <v>202</v>
      </c>
      <c r="Y6" s="451" t="s">
        <v>202</v>
      </c>
      <c r="Z6" s="451" t="s">
        <v>204</v>
      </c>
      <c r="AA6" s="451" t="s">
        <v>204</v>
      </c>
      <c r="AB6" s="451" t="s">
        <v>204</v>
      </c>
      <c r="AC6" s="451" t="s">
        <v>204</v>
      </c>
      <c r="AD6" s="1110"/>
      <c r="AE6" s="1111"/>
      <c r="AF6" s="1112"/>
      <c r="AG6" s="412"/>
      <c r="AH6" s="412"/>
      <c r="AI6" s="412"/>
      <c r="AJ6" s="412"/>
      <c r="AK6" s="412"/>
    </row>
    <row r="7" spans="1:37" x14ac:dyDescent="0.2">
      <c r="A7" s="452" t="s">
        <v>205</v>
      </c>
      <c r="B7" s="453" t="s">
        <v>205</v>
      </c>
      <c r="C7" s="454" t="s">
        <v>206</v>
      </c>
      <c r="D7" s="455" t="s">
        <v>206</v>
      </c>
      <c r="E7" s="456" t="s">
        <v>207</v>
      </c>
      <c r="F7" s="457" t="s">
        <v>208</v>
      </c>
      <c r="G7" s="453" t="s">
        <v>205</v>
      </c>
      <c r="H7" s="458" t="s">
        <v>206</v>
      </c>
      <c r="I7" s="459" t="s">
        <v>209</v>
      </c>
      <c r="J7" s="460" t="s">
        <v>210</v>
      </c>
      <c r="K7" s="461" t="s">
        <v>211</v>
      </c>
      <c r="L7" s="462" t="s">
        <v>212</v>
      </c>
      <c r="M7" s="462" t="s">
        <v>213</v>
      </c>
      <c r="N7" s="461" t="s">
        <v>214</v>
      </c>
      <c r="O7" s="462" t="s">
        <v>215</v>
      </c>
      <c r="P7" s="463" t="str">
        <f>HYPERLINK("#1!G1"," 1 ")</f>
        <v xml:space="preserve"> 1 </v>
      </c>
      <c r="Q7" s="463" t="str">
        <f>HYPERLINK("#2!G1"," 2 ")</f>
        <v xml:space="preserve"> 2 </v>
      </c>
      <c r="R7" s="463" t="str">
        <f>HYPERLINK("#3!G1"," 3 ")</f>
        <v xml:space="preserve"> 3 </v>
      </c>
      <c r="S7" s="463" t="str">
        <f>HYPERLINK("#4!G1"," 4 ")</f>
        <v xml:space="preserve"> 4 </v>
      </c>
      <c r="T7" s="463" t="str">
        <f>HYPERLINK("#5!G1"," 5 ")</f>
        <v xml:space="preserve"> 5 </v>
      </c>
      <c r="U7" s="463" t="str">
        <f>HYPERLINK("#6!G1"," 6 ")</f>
        <v xml:space="preserve"> 6 </v>
      </c>
      <c r="V7" s="463" t="str">
        <f>HYPERLINK("#7!G1"," 7 ")</f>
        <v xml:space="preserve"> 7 </v>
      </c>
      <c r="W7" s="463" t="str">
        <f>HYPERLINK("#8!G1"," 8 ")</f>
        <v xml:space="preserve"> 8 </v>
      </c>
      <c r="X7" s="463" t="str">
        <f>HYPERLINK("#9!G1"," 9 ")</f>
        <v xml:space="preserve"> 9 </v>
      </c>
      <c r="Y7" s="463" t="str">
        <f>HYPERLINK("#10!G1","10")</f>
        <v>10</v>
      </c>
      <c r="Z7" s="463" t="str">
        <f>HYPERLINK("#11!G1","11")</f>
        <v>11</v>
      </c>
      <c r="AA7" s="463" t="str">
        <f>HYPERLINK("#12!G1","12")</f>
        <v>12</v>
      </c>
      <c r="AB7" s="463" t="str">
        <f>HYPERLINK("#13!G1","13")</f>
        <v>13</v>
      </c>
      <c r="AC7" s="463" t="str">
        <f>HYPERLINK("#14!G1","14")</f>
        <v>14</v>
      </c>
      <c r="AD7" s="464"/>
      <c r="AE7" s="465"/>
      <c r="AF7" s="424"/>
      <c r="AG7" s="466" t="s">
        <v>216</v>
      </c>
      <c r="AH7" s="466" t="s">
        <v>217</v>
      </c>
      <c r="AI7" s="466" t="s">
        <v>218</v>
      </c>
      <c r="AJ7" s="466" t="s">
        <v>219</v>
      </c>
      <c r="AK7" s="412"/>
    </row>
    <row r="8" spans="1:37" x14ac:dyDescent="0.2">
      <c r="A8" s="467" t="str">
        <f>IFERROR(RANK(B8,B$8:B$64,1),"")</f>
        <v/>
      </c>
      <c r="B8" s="468" t="str">
        <f t="shared" ref="B8:B64" si="0">IF(G8="n",L8,"")</f>
        <v/>
      </c>
      <c r="C8" s="469" t="str">
        <f>IFERROR(RANK(D8,D$8:D$64,1),"")</f>
        <v/>
      </c>
      <c r="D8" s="470" t="str">
        <f t="shared" ref="D8:D64" si="1">IF(H8="j",L8,"")</f>
        <v/>
      </c>
      <c r="E8" s="471">
        <f ca="1">RANK(L8,L$8:L$64,1)</f>
        <v>1</v>
      </c>
      <c r="F8" s="487" t="s">
        <v>20</v>
      </c>
      <c r="G8" s="472"/>
      <c r="H8" s="473"/>
      <c r="I8" s="474">
        <f ca="1">(IF(COUNT(P8,R8,X8,Y8)&lt;3,SUM(P8,R8,X8,Y8),SUM(LARGE((P8,R8,X8,Y8),{1;2;3}))))+(IF(COUNT(Q8,S8,U8,W8)&lt;3,SUM(Q8,S8,U8,W8),SUM(LARGE((Q8,S8,U8,W8),{1;2;3}))))+(IF(COUNT(T8,V8,Z8,AA8,AB8,AC8)&lt;4,SUM(T8,V8,Z8,AA8,AB8,AC8),SUM(LARGE((T8,V8,Z8,AA8,AB8,AC8),{1;2;3;4}))))</f>
        <v>364</v>
      </c>
      <c r="J8" s="475" t="str">
        <f ca="1">INDEX(ETAPP!B$1:B$32,MATCH(COUNTIF(P8:AC8,PIV!A$1),ETAPP!A$1:A$32,0))&amp;INDEX(ETAPP!B$1:B$32,MATCH(COUNTIF(P8:AC8,PIV!A$2),ETAPP!A$1:A$32,0))&amp;INDEX(ETAPP!B$1:B$32,MATCH(COUNTIF(P8:AC8,PIV!A$3),ETAPP!A$1:A$32,0))&amp;INDEX(ETAPP!B$1:B$32,MATCH(COUNTIF(P8:AC8,PIV!A$4),ETAPP!A$1:A$32,0))&amp;INDEX(ETAPP!B$1:B$32,MATCH(COUNTIF(P8:AC8,PIV!A$5),ETAPP!A$1:A$32,0))&amp;INDEX(ETAPP!B$1:B$32,MATCH(COUNTIF(P8:AC8,PIV!A$6),ETAPP!A$1:A$32,0))&amp;INDEX(ETAPP!B$1:B$32,MATCH(COUNTIF(P8:AC8,PIV!A$7),ETAPP!A$1:A$32,0))&amp;INDEX(ETAPP!B$1:B$32,MATCH(COUNTIF(P8:AC8,PIV!A$8),ETAPP!A$1:A$32,0))&amp;INDEX(ETAPP!B$1:B$32,MATCH(COUNTIF(P8:AC8,PIV!A$9),ETAPP!A$1:A$32,0))&amp;INDEX(ETAPP!B$1:B$32,MATCH(COUNTIF(P8:AC8,PIV!A$10),ETAPP!A$1:A$32,0))&amp;INDEX(ETAPP!B$1:B$32,MATCH(COUNTIF(P8:AC8,PIV!A$11),ETAPP!A$1:A$32,0))&amp;INDEX(ETAPP!B$1:B$32,MATCH(COUNTIF(P8:AC8,PIV!A$12),ETAPP!A$1:A$32,0))&amp;INDEX(ETAPP!B$1:B$32,MATCH(COUNTIF(P8:AC8,PIV!A$13),ETAPP!A$1:A$32,0))&amp;INDEX(ETAPP!B$1:B$32,MATCH(COUNTIF(P8:AC8,PIV!A$14),ETAPP!A$1:A$32,0))&amp;INDEX(ETAPP!B$1:B$32,MATCH(COUNTIF(P8:AC8,PIV!A$15),ETAPP!A$1:A$32,0))&amp;INDEX(ETAPP!B$1:B$32,MATCH(COUNTIF(P8:AC8,PIV!A$16),ETAPP!A$1:A$32,0))&amp;INDEX(ETAPP!B$1:B$32,MATCH(COUNTIF(P8:AC8,PIV!A$17),ETAPP!A$1:A$32,0))&amp;INDEX(ETAPP!B$1:B$32,MATCH(COUNTIF(P8:AC8,PIV!A$18),ETAPP!A$1:A$32,0))&amp;INDEX(ETAPP!B$1:B$32,MATCH(COUNTIF(P8:AC8,PIV!A$19),ETAPP!A$1:A$32,0))</f>
        <v>FCAA00A00A00000000A</v>
      </c>
      <c r="K8" s="475" t="str">
        <f t="shared" ref="K8:K64" ca="1" si="2">TEXT(I8,"000,0")&amp;"-"&amp;J8</f>
        <v>364,0-FCAA00A00A00000000A</v>
      </c>
      <c r="L8" s="476">
        <f ca="1">COUNTIF(K$8:K$64,"&gt;="&amp;K8)</f>
        <v>1</v>
      </c>
      <c r="M8" s="476">
        <f>COUNTIF(F$8:F$64,"&gt;="&amp;F8)</f>
        <v>45</v>
      </c>
      <c r="N8" s="475" t="str">
        <f t="shared" ref="N8:N64" ca="1" si="3">TEXT(I8,"000,0")&amp;"-"&amp;J8&amp;"-"&amp;TEXT(M8,"000")</f>
        <v>364,0-FCAA00A00A00000000A-045</v>
      </c>
      <c r="O8" s="477">
        <f ca="1">COUNTIF(N$8:N$64,"&lt;="&amp;N8)</f>
        <v>57</v>
      </c>
      <c r="P8" s="478">
        <f>IFERROR(INDEX('1'!C$300:C$400,MATCH("*"&amp;F8&amp;"*",'1'!B$300:B$400,0)),"  ")</f>
        <v>40</v>
      </c>
      <c r="Q8" s="479">
        <f>IFERROR(INDEX('2'!C$300:C$400,MATCH("*"&amp;F8&amp;"*",'2'!B$300:B$400,0)),"  ")</f>
        <v>26</v>
      </c>
      <c r="R8" s="479" t="str">
        <f>IFERROR(INDEX('3'!C$300:C$400,MATCH("*"&amp;F8&amp;"*",'3'!B$300:B$400,0)),"  ")</f>
        <v xml:space="preserve">  </v>
      </c>
      <c r="S8" s="479">
        <f>IFERROR(INDEX('4'!C$300:C$400,MATCH("*"&amp;F8&amp;"*",'4'!B$300:B$400,0)),"  ")</f>
        <v>20</v>
      </c>
      <c r="T8" s="479">
        <f>IFERROR(INDEX('5'!C$300:C$400,MATCH("*"&amp;F8&amp;"*",'5'!B$300:B$400,0)),"  ")</f>
        <v>40</v>
      </c>
      <c r="U8" s="479">
        <f>IFERROR(INDEX('6'!C$300:C$400,MATCH("*"&amp;F8&amp;"*",'6'!B$300:B$400,0)),"  ")</f>
        <v>40</v>
      </c>
      <c r="V8" s="479">
        <f ca="1">IFERROR(INDEX('7'!C$300:C$400,MATCH("*"&amp;F8&amp;"*",'7'!B$300:B$400,0)),"  ")</f>
        <v>34</v>
      </c>
      <c r="W8" s="479">
        <f>IFERROR(INDEX('8'!C$300:C$400,MATCH("*"&amp;F8&amp;"*",'8'!B$300:B$400,0)),"  ")</f>
        <v>40</v>
      </c>
      <c r="X8" s="479">
        <f>IFERROR(INDEX('9'!C$300:C$400,MATCH("*"&amp;F8&amp;"*",'9'!B$300:B$400,0)),"  ")</f>
        <v>30</v>
      </c>
      <c r="Y8" s="479">
        <f>IFERROR(INDEX('10'!C$300:C$400,MATCH("*"&amp;F8&amp;"*",'10'!B$300:B$400,0)),"  ")</f>
        <v>34</v>
      </c>
      <c r="Z8" s="478">
        <f>IFERROR(INDEX('11'!C$300:C$400,MATCH("*"&amp;F8&amp;"*",'11'!B$300:B$400,0)),"  ")</f>
        <v>34</v>
      </c>
      <c r="AA8" s="479">
        <f>IFERROR(INDEX('12'!C$300:C$400,MATCH("*"&amp;F8&amp;"*",'12'!B$300:B$400,0)),"  ")</f>
        <v>40</v>
      </c>
      <c r="AB8" s="479">
        <f>IFERROR(INDEX('13'!C$300:C$400,MATCH("*"&amp;F8&amp;"*",'13'!B$300:B$400,0)),"  ")</f>
        <v>14</v>
      </c>
      <c r="AC8" s="479">
        <f>IFERROR(INDEX('14'!C$300:C$400,MATCH("*"&amp;F8&amp;"*",'14'!B$300:B$400,0)),"  ")</f>
        <v>40</v>
      </c>
      <c r="AD8" s="480">
        <f t="shared" ref="AD8:AD64" ca="1" si="4">COUNTIF(P8:AC8,"&gt;=0")</f>
        <v>13</v>
      </c>
      <c r="AE8" s="481">
        <f t="shared" ref="AE8:AE64" ca="1" si="5">COUNTIF(P8:AC8,"&gt;=30")</f>
        <v>10</v>
      </c>
      <c r="AF8" s="481">
        <f t="shared" ref="AF8:AF64" ca="1" si="6">COUNTIF(P8:AC8,"=40")</f>
        <v>6</v>
      </c>
      <c r="AG8" s="482">
        <f>MIN(IF($P8="  ",FALSE,$P8)+$P$7/10000,IF($R8="  ",FALSE,$R8)+$R$7/10000,IF($X8="  ",FALSE,$X8)+$X$7/10000,IF($Y8="  ",FALSE,$Y8)+$Y$7/10000)</f>
        <v>2.9999999999999997E-4</v>
      </c>
      <c r="AH8" s="482">
        <f t="shared" ref="AH8:AH64" si="7">MIN(IF($Q8="  ",FALSE,$Q8)+$Q$7/10000,IF($S8="  ",FALSE,$S8)+$S$7/10000,IF($U8="  ",FALSE,$U8)+$U$7/10000,IF($W8="  ",FALSE,$W8)+$W$7/10000)</f>
        <v>20.000399999999999</v>
      </c>
      <c r="AI8" s="482">
        <f t="shared" ref="AI8:AI64" ca="1" si="8">MIN(IF($T8="  ",FALSE,$T8)+$T$7/10000,IF($V8="  ",FALSE,$V8)+$V$7/10000,IF($Z8="  ",FALSE,$Z8)+$Z$7/10000,IF($AA8="  ",FALSE,$AA8)+$AA$7/10000,IF($AB8="  ",FALSE,$AB8)+$AB$7/10000,IF($AC8="  ",FALSE,$AC8)+$AC$7/10000)</f>
        <v>14.001300000000001</v>
      </c>
      <c r="AJ8" s="482">
        <f t="shared" ref="AJ8:AJ64" ca="1" si="9">MIN(IF((IF($T8="  ",FALSE,$T8)+$T$7/10000)=AI8,333,IF($T8="  ",FALSE,$T8)+$T$7/10000),IF((IF($V8="  ",FALSE,$V8)+$V$7/10000)=AI8,333,IF($V8=" ",FALSE,$V8)+$V$7/10000),IF((IF($Z8="  ",FALSE,$Z8)+$Z$7/10000)=AI8,333,IF($Z8="  ",FALSE,$Z8)+$Z$7/10000),IF((IF($AA8="  ",FALSE,$AA8)+$AA$7/10000)=AI8,333,IF($AA8="  ",FALSE,$AA8)+$AA$7/10000),IF((IF($AB8="  ",FALSE,$AB8)+$AB$7/10000)=AI8,333,IF($AB8="  ",FALSE,$AB8)+$AB$7/10000),IF((IF($AC8="  ",FALSE,$AC8)+$AC$7/10000)=AI8,333,IF($AC8="  ",FALSE,$AC8)+$AC$7/10000))</f>
        <v>34.000700000000002</v>
      </c>
      <c r="AK8" s="420"/>
    </row>
    <row r="9" spans="1:37" x14ac:dyDescent="0.2">
      <c r="A9" s="467" t="str">
        <f>IFERROR(RANK(B9,B$8:B$64,1),"")</f>
        <v/>
      </c>
      <c r="B9" s="468" t="str">
        <f t="shared" si="0"/>
        <v/>
      </c>
      <c r="C9" s="469" t="str">
        <f>IFERROR(RANK(D9,D$8:D$64,1),"")</f>
        <v/>
      </c>
      <c r="D9" s="470" t="str">
        <f t="shared" si="1"/>
        <v/>
      </c>
      <c r="E9" s="471">
        <f ca="1">RANK(L9,L$8:L$64,1)</f>
        <v>2</v>
      </c>
      <c r="F9" s="432" t="s">
        <v>220</v>
      </c>
      <c r="G9" s="460"/>
      <c r="H9" s="483"/>
      <c r="I9" s="474">
        <f ca="1">(IF(COUNT(P9,R9,X9,Y9)&lt;3,SUM(P9,R9,X9,Y9),SUM(LARGE((P9,R9,X9,Y9),{1;2;3}))))+(IF(COUNT(Q9,S9,U9,W9)&lt;3,SUM(Q9,S9,U9,W9),SUM(LARGE((Q9,S9,U9,W9),{1;2;3}))))+(IF(COUNT(T9,V9,Z9,AA9,AB9,AC9)&lt;4,SUM(T9,V9,Z9,AA9,AB9,AC9),SUM(LARGE((T9,V9,Z9,AA9,AB9,AC9),{1;2;3;4}))))</f>
        <v>330</v>
      </c>
      <c r="J9" s="475" t="str">
        <f ca="1">INDEX(ETAPP!B$1:B$32,MATCH(COUNTIF(P9:AC9,PIV!A$1),ETAPP!A$1:A$32,0))&amp;INDEX(ETAPP!B$1:B$32,MATCH(COUNTIF(P9:AC9,PIV!A$2),ETAPP!A$1:A$32,0))&amp;INDEX(ETAPP!B$1:B$32,MATCH(COUNTIF(P9:AC9,PIV!A$3),ETAPP!A$1:A$32,0))&amp;INDEX(ETAPP!B$1:B$32,MATCH(COUNTIF(P9:AC9,PIV!A$4),ETAPP!A$1:A$32,0))&amp;INDEX(ETAPP!B$1:B$32,MATCH(COUNTIF(P9:AC9,PIV!A$5),ETAPP!A$1:A$32,0))&amp;INDEX(ETAPP!B$1:B$32,MATCH(COUNTIF(P9:AC9,PIV!A$6),ETAPP!A$1:A$32,0))&amp;INDEX(ETAPP!B$1:B$32,MATCH(COUNTIF(P9:AC9,PIV!A$7),ETAPP!A$1:A$32,0))&amp;INDEX(ETAPP!B$1:B$32,MATCH(COUNTIF(P9:AC9,PIV!A$8),ETAPP!A$1:A$32,0))&amp;INDEX(ETAPP!B$1:B$32,MATCH(COUNTIF(P9:AC9,PIV!A$9),ETAPP!A$1:A$32,0))&amp;INDEX(ETAPP!B$1:B$32,MATCH(COUNTIF(P9:AC9,PIV!A$10),ETAPP!A$1:A$32,0))&amp;INDEX(ETAPP!B$1:B$32,MATCH(COUNTIF(P9:AC9,PIV!A$11),ETAPP!A$1:A$32,0))&amp;INDEX(ETAPP!B$1:B$32,MATCH(COUNTIF(P9:AC9,PIV!A$12),ETAPP!A$1:A$32,0))&amp;INDEX(ETAPP!B$1:B$32,MATCH(COUNTIF(P9:AC9,PIV!A$13),ETAPP!A$1:A$32,0))&amp;INDEX(ETAPP!B$1:B$32,MATCH(COUNTIF(P9:AC9,PIV!A$14),ETAPP!A$1:A$32,0))&amp;INDEX(ETAPP!B$1:B$32,MATCH(COUNTIF(P9:AC9,PIV!A$15),ETAPP!A$1:A$32,0))&amp;INDEX(ETAPP!B$1:B$32,MATCH(COUNTIF(P9:AC9,PIV!A$16),ETAPP!A$1:A$32,0))&amp;INDEX(ETAPP!B$1:B$32,MATCH(COUNTIF(P9:AC9,PIV!A$17),ETAPP!A$1:A$32,0))&amp;INDEX(ETAPP!B$1:B$32,MATCH(COUNTIF(P9:AC9,PIV!A$18),ETAPP!A$1:A$32,0))&amp;INDEX(ETAPP!B$1:B$32,MATCH(COUNTIF(P9:AC9,PIV!A$19),ETAPP!A$1:A$32,0))</f>
        <v>DBD00AA00000A00000A</v>
      </c>
      <c r="K9" s="475" t="str">
        <f t="shared" ca="1" si="2"/>
        <v>330,0-DBD00AA00000A00000A</v>
      </c>
      <c r="L9" s="476">
        <f ca="1">COUNTIF(K$8:K$64,"&gt;="&amp;K9)</f>
        <v>2</v>
      </c>
      <c r="M9" s="476">
        <f>COUNTIF(F$8:F$64,"&gt;="&amp;F9)</f>
        <v>24</v>
      </c>
      <c r="N9" s="475" t="str">
        <f t="shared" ca="1" si="3"/>
        <v>330,0-DBD00AA00000A00000A-024</v>
      </c>
      <c r="O9" s="477">
        <f ca="1">COUNTIF(N$8:N$64,"&lt;="&amp;N9)</f>
        <v>56</v>
      </c>
      <c r="P9" s="478">
        <f>IFERROR(INDEX('1'!C$300:C$400,MATCH("*"&amp;F9&amp;"*",'1'!B$300:B$400,0)),"  ")</f>
        <v>34</v>
      </c>
      <c r="Q9" s="479">
        <f>IFERROR(INDEX('2'!C$300:C$400,MATCH("*"&amp;F9&amp;"*",'2'!B$300:B$400,0)),"  ")</f>
        <v>34</v>
      </c>
      <c r="R9" s="479">
        <f>IFERROR(INDEX('3'!C$300:C$400,MATCH("*"&amp;F9&amp;"*",'3'!B$300:B$400,0)),"  ")</f>
        <v>40</v>
      </c>
      <c r="S9" s="479">
        <f>IFERROR(INDEX('4'!C$300:C$400,MATCH("*"&amp;F9&amp;"*",'4'!B$300:B$400,0)),"  ")</f>
        <v>30</v>
      </c>
      <c r="T9" s="479">
        <f>IFERROR(INDEX('5'!C$300:C$400,MATCH("*"&amp;F9&amp;"*",'5'!B$300:B$400,0)),"  ")</f>
        <v>8</v>
      </c>
      <c r="U9" s="479">
        <f>IFERROR(INDEX('6'!C$300:C$400,MATCH("*"&amp;F9&amp;"*",'6'!B$300:B$400,0)),"  ")</f>
        <v>30</v>
      </c>
      <c r="V9" s="479">
        <f ca="1">IFERROR(INDEX('7'!C$300:C$400,MATCH("*"&amp;F9&amp;"*",'7'!B$300:B$400,0)),"  ")</f>
        <v>40</v>
      </c>
      <c r="W9" s="479">
        <f>IFERROR(INDEX('8'!C$300:C$400,MATCH("*"&amp;F9&amp;"*",'8'!B$300:B$400,0)),"  ")</f>
        <v>30</v>
      </c>
      <c r="X9" s="479">
        <f>IFERROR(INDEX('9'!C$300:C$400,MATCH("*"&amp;F9&amp;"*",'9'!B$300:B$400,0)),"  ")</f>
        <v>40</v>
      </c>
      <c r="Y9" s="479">
        <f>IFERROR(INDEX('10'!C$300:C$400,MATCH("*"&amp;F9&amp;"*",'10'!B$300:B$400,0)),"  ")</f>
        <v>30</v>
      </c>
      <c r="Z9" s="478">
        <f>IFERROR(INDEX('11'!C$300:C$400,MATCH("*"&amp;F9&amp;"*",'11'!B$300:B$400,0)),"  ")</f>
        <v>40</v>
      </c>
      <c r="AA9" s="479">
        <f>IFERROR(INDEX('12'!C$300:C$400,MATCH("*"&amp;F9&amp;"*",'12'!B$300:B$400,0)),"  ")</f>
        <v>22</v>
      </c>
      <c r="AB9" s="479">
        <f>IFERROR(INDEX('13'!C$300:C$400,MATCH("*"&amp;F9&amp;"*",'13'!B$300:B$400,0)),"  ")</f>
        <v>20</v>
      </c>
      <c r="AC9" s="479" t="str">
        <f>IFERROR(INDEX('14'!C$300:C$400,MATCH("*"&amp;F9&amp;"*",'14'!B$300:B$400,0)),"  ")</f>
        <v xml:space="preserve">  </v>
      </c>
      <c r="AD9" s="481">
        <f t="shared" ca="1" si="4"/>
        <v>13</v>
      </c>
      <c r="AE9" s="481">
        <f t="shared" ca="1" si="5"/>
        <v>10</v>
      </c>
      <c r="AF9" s="481">
        <f t="shared" ca="1" si="6"/>
        <v>4</v>
      </c>
      <c r="AG9" s="482">
        <f t="shared" ref="AG9:AG64" si="10">MIN(IF($P9="  ",FALSE,$P9)+$P$7/10000,IF($R9="  ",FALSE,$R9)+$R$7/10000,IF($X9="  ",FALSE,$X9)+$X$7/10000,IF($Y9="  ",FALSE,$Y9)+$Y$7/10000)</f>
        <v>30.001000000000001</v>
      </c>
      <c r="AH9" s="482">
        <f t="shared" si="7"/>
        <v>30.000399999999999</v>
      </c>
      <c r="AI9" s="482">
        <f t="shared" ca="1" si="8"/>
        <v>1.4E-3</v>
      </c>
      <c r="AJ9" s="482">
        <f t="shared" ca="1" si="9"/>
        <v>8.0005000000000006</v>
      </c>
      <c r="AK9" s="412"/>
    </row>
    <row r="10" spans="1:37" x14ac:dyDescent="0.2">
      <c r="A10" s="467" t="str">
        <f>IFERROR(RANK(B10,B$8:B$64,1),"")</f>
        <v/>
      </c>
      <c r="B10" s="468" t="str">
        <f t="shared" si="0"/>
        <v/>
      </c>
      <c r="C10" s="469" t="str">
        <f>IFERROR(RANK(D10,D$8:D$64,1),"")</f>
        <v/>
      </c>
      <c r="D10" s="470" t="str">
        <f t="shared" si="1"/>
        <v/>
      </c>
      <c r="E10" s="471">
        <f ca="1">RANK(L10,L$8:L$64,1)</f>
        <v>3</v>
      </c>
      <c r="F10" s="487" t="s">
        <v>221</v>
      </c>
      <c r="G10" s="472"/>
      <c r="H10" s="473"/>
      <c r="I10" s="474">
        <f ca="1">(IF(COUNT(P10,R10,X10,Y10)&lt;3,SUM(P10,R10,X10,Y10),SUM(LARGE((P10,R10,X10,Y10),{1;2;3}))))+(IF(COUNT(Q10,S10,U10,W10)&lt;3,SUM(Q10,S10,U10,W10),SUM(LARGE((Q10,S10,U10,W10),{1;2;3}))))+(IF(COUNT(T10,V10,Z10,AA10,AB10,AC10)&lt;4,SUM(T10,V10,Z10,AA10,AB10,AC10),SUM(LARGE((T10,V10,Z10,AA10,AB10,AC10),{1;2;3;4}))))</f>
        <v>310</v>
      </c>
      <c r="J10" s="475" t="str">
        <f ca="1">INDEX(ETAPP!B$1:B$32,MATCH(COUNTIF(P10:AC10,PIV!A$1),ETAPP!A$1:A$32,0))&amp;INDEX(ETAPP!B$1:B$32,MATCH(COUNTIF(P10:AC10,PIV!A$2),ETAPP!A$1:A$32,0))&amp;INDEX(ETAPP!B$1:B$32,MATCH(COUNTIF(P10:AC10,PIV!A$3),ETAPP!A$1:A$32,0))&amp;INDEX(ETAPP!B$1:B$32,MATCH(COUNTIF(P10:AC10,PIV!A$4),ETAPP!A$1:A$32,0))&amp;INDEX(ETAPP!B$1:B$32,MATCH(COUNTIF(P10:AC10,PIV!A$5),ETAPP!A$1:A$32,0))&amp;INDEX(ETAPP!B$1:B$32,MATCH(COUNTIF(P10:AC10,PIV!A$6),ETAPP!A$1:A$32,0))&amp;INDEX(ETAPP!B$1:B$32,MATCH(COUNTIF(P10:AC10,PIV!A$7),ETAPP!A$1:A$32,0))&amp;INDEX(ETAPP!B$1:B$32,MATCH(COUNTIF(P10:AC10,PIV!A$8),ETAPP!A$1:A$32,0))&amp;INDEX(ETAPP!B$1:B$32,MATCH(COUNTIF(P10:AC10,PIV!A$9),ETAPP!A$1:A$32,0))&amp;INDEX(ETAPP!B$1:B$32,MATCH(COUNTIF(P10:AC10,PIV!A$10),ETAPP!A$1:A$32,0))&amp;INDEX(ETAPP!B$1:B$32,MATCH(COUNTIF(P10:AC10,PIV!A$11),ETAPP!A$1:A$32,0))&amp;INDEX(ETAPP!B$1:B$32,MATCH(COUNTIF(P10:AC10,PIV!A$12),ETAPP!A$1:A$32,0))&amp;INDEX(ETAPP!B$1:B$32,MATCH(COUNTIF(P10:AC10,PIV!A$13),ETAPP!A$1:A$32,0))&amp;INDEX(ETAPP!B$1:B$32,MATCH(COUNTIF(P10:AC10,PIV!A$14),ETAPP!A$1:A$32,0))&amp;INDEX(ETAPP!B$1:B$32,MATCH(COUNTIF(P10:AC10,PIV!A$15),ETAPP!A$1:A$32,0))&amp;INDEX(ETAPP!B$1:B$32,MATCH(COUNTIF(P10:AC10,PIV!A$16),ETAPP!A$1:A$32,0))&amp;INDEX(ETAPP!B$1:B$32,MATCH(COUNTIF(P10:AC10,PIV!A$17),ETAPP!A$1:A$32,0))&amp;INDEX(ETAPP!B$1:B$32,MATCH(COUNTIF(P10:AC10,PIV!A$18),ETAPP!A$1:A$32,0))&amp;INDEX(ETAPP!B$1:B$32,MATCH(COUNTIF(P10:AC10,PIV!A$19),ETAPP!A$1:A$32,0))</f>
        <v>BCDB0000C0000000000</v>
      </c>
      <c r="K10" s="475" t="str">
        <f t="shared" ca="1" si="2"/>
        <v>310,0-BCDB0000C0000000000</v>
      </c>
      <c r="L10" s="476">
        <f ca="1">COUNTIF(K$8:K$64,"&gt;="&amp;K10)</f>
        <v>3</v>
      </c>
      <c r="M10" s="476">
        <f>COUNTIF(F$8:F$64,"&gt;="&amp;F10)</f>
        <v>43</v>
      </c>
      <c r="N10" s="475" t="str">
        <f t="shared" ca="1" si="3"/>
        <v>310,0-BCDB0000C0000000000-043</v>
      </c>
      <c r="O10" s="477">
        <f ca="1">COUNTIF(N$8:N$64,"&lt;="&amp;N10)</f>
        <v>55</v>
      </c>
      <c r="P10" s="478">
        <f>IFERROR(INDEX('1'!C$300:C$400,MATCH("*"&amp;F10&amp;"*",'1'!B$300:B$400,0)),"  ")</f>
        <v>34</v>
      </c>
      <c r="Q10" s="479">
        <f>IFERROR(INDEX('2'!C$300:C$400,MATCH("*"&amp;F10&amp;"*",'2'!B$300:B$400,0)),"  ")</f>
        <v>34</v>
      </c>
      <c r="R10" s="479">
        <f>IFERROR(INDEX('3'!C$300:C$400,MATCH("*"&amp;F10&amp;"*",'3'!B$300:B$400,0)),"  ")</f>
        <v>40</v>
      </c>
      <c r="S10" s="479">
        <f>IFERROR(INDEX('4'!C$300:C$400,MATCH("*"&amp;F10&amp;"*",'4'!B$300:B$400,0)),"  ")</f>
        <v>30</v>
      </c>
      <c r="T10" s="479">
        <f>IFERROR(INDEX('5'!C$300:C$400,MATCH("*"&amp;F10&amp;"*",'5'!B$300:B$400,0)),"  ")</f>
        <v>26</v>
      </c>
      <c r="U10" s="479">
        <f>IFERROR(INDEX('6'!C$300:C$400,MATCH("*"&amp;F10&amp;"*",'6'!B$300:B$400,0)),"  ")</f>
        <v>30</v>
      </c>
      <c r="V10" s="479">
        <f ca="1">IFERROR(INDEX('7'!C$300:C$400,MATCH("*"&amp;F10&amp;"*",'7'!B$300:B$400,0)),"  ")</f>
        <v>26</v>
      </c>
      <c r="W10" s="479">
        <f>IFERROR(INDEX('8'!C$300:C$400,MATCH("*"&amp;F10&amp;"*",'8'!B$300:B$400,0)),"  ")</f>
        <v>30</v>
      </c>
      <c r="X10" s="479">
        <f>IFERROR(INDEX('9'!C$300:C$400,MATCH("*"&amp;F10&amp;"*",'9'!B$300:B$400,0)),"  ")</f>
        <v>40</v>
      </c>
      <c r="Y10" s="479">
        <f>IFERROR(INDEX('10'!C$300:C$400,MATCH("*"&amp;F10&amp;"*",'10'!B$300:B$400,0)),"  ")</f>
        <v>30</v>
      </c>
      <c r="Z10" s="478">
        <f>IFERROR(INDEX('11'!C$300:C$400,MATCH("*"&amp;F10&amp;"*",'11'!B$300:B$400,0)),"  ")</f>
        <v>16</v>
      </c>
      <c r="AA10" s="479">
        <f>IFERROR(INDEX('12'!C$300:C$400,MATCH("*"&amp;F10&amp;"*",'12'!B$300:B$400,0)),"  ")</f>
        <v>16</v>
      </c>
      <c r="AB10" s="479">
        <f>IFERROR(INDEX('13'!C$300:C$400,MATCH("*"&amp;F10&amp;"*",'13'!B$300:B$400,0)),"  ")</f>
        <v>34</v>
      </c>
      <c r="AC10" s="479">
        <f>IFERROR(INDEX('14'!C$300:C$400,MATCH("*"&amp;F10&amp;"*",'14'!B$300:B$400,0)),"  ")</f>
        <v>16</v>
      </c>
      <c r="AD10" s="481">
        <f t="shared" ca="1" si="4"/>
        <v>14</v>
      </c>
      <c r="AE10" s="481">
        <f t="shared" ca="1" si="5"/>
        <v>9</v>
      </c>
      <c r="AF10" s="481">
        <f t="shared" ca="1" si="6"/>
        <v>2</v>
      </c>
      <c r="AG10" s="482">
        <f t="shared" si="10"/>
        <v>30.001000000000001</v>
      </c>
      <c r="AH10" s="482">
        <f t="shared" si="7"/>
        <v>30.000399999999999</v>
      </c>
      <c r="AI10" s="482">
        <f t="shared" ca="1" si="8"/>
        <v>16.001100000000001</v>
      </c>
      <c r="AJ10" s="482">
        <f t="shared" ca="1" si="9"/>
        <v>16.001200000000001</v>
      </c>
      <c r="AK10" s="412"/>
    </row>
    <row r="11" spans="1:37" x14ac:dyDescent="0.2">
      <c r="A11" s="467" t="str">
        <f>IFERROR(RANK(B11,B$8:B$64,1),"")</f>
        <v/>
      </c>
      <c r="B11" s="468" t="str">
        <f t="shared" si="0"/>
        <v/>
      </c>
      <c r="C11" s="469" t="str">
        <f>IFERROR(RANK(D11,D$8:D$64,1),"")</f>
        <v/>
      </c>
      <c r="D11" s="470" t="str">
        <f t="shared" si="1"/>
        <v/>
      </c>
      <c r="E11" s="471">
        <f ca="1">RANK(L11,L$8:L$64,1)</f>
        <v>4</v>
      </c>
      <c r="F11" s="432" t="s">
        <v>222</v>
      </c>
      <c r="G11" s="472"/>
      <c r="H11" s="473"/>
      <c r="I11" s="474">
        <f ca="1">(IF(COUNT(P11,R11,X11,Y11)&lt;3,SUM(P11,R11,X11,Y11),SUM(LARGE((P11,R11,X11,Y11),{1;2;3}))))+(IF(COUNT(Q11,S11,U11,W11)&lt;3,SUM(Q11,S11,U11,W11),SUM(LARGE((Q11,S11,U11,W11),{1;2;3}))))+(IF(COUNT(T11,V11,Z11,AA11,AB11,AC11)&lt;4,SUM(T11,V11,Z11,AA11,AB11,AC11),SUM(LARGE((T11,V11,Z11,AA11,AB11,AC11),{1;2;3;4}))))</f>
        <v>294</v>
      </c>
      <c r="J11" s="475" t="str">
        <f ca="1">INDEX(ETAPP!B$1:B$32,MATCH(COUNTIF(P11:AC11,PIV!A$1),ETAPP!A$1:A$32,0))&amp;INDEX(ETAPP!B$1:B$32,MATCH(COUNTIF(P11:AC11,PIV!A$2),ETAPP!A$1:A$32,0))&amp;INDEX(ETAPP!B$1:B$32,MATCH(COUNTIF(P11:AC11,PIV!A$3),ETAPP!A$1:A$32,0))&amp;INDEX(ETAPP!B$1:B$32,MATCH(COUNTIF(P11:AC11,PIV!A$4),ETAPP!A$1:A$32,0))&amp;INDEX(ETAPP!B$1:B$32,MATCH(COUNTIF(P11:AC11,PIV!A$5),ETAPP!A$1:A$32,0))&amp;INDEX(ETAPP!B$1:B$32,MATCH(COUNTIF(P11:AC11,PIV!A$6),ETAPP!A$1:A$32,0))&amp;INDEX(ETAPP!B$1:B$32,MATCH(COUNTIF(P11:AC11,PIV!A$7),ETAPP!A$1:A$32,0))&amp;INDEX(ETAPP!B$1:B$32,MATCH(COUNTIF(P11:AC11,PIV!A$8),ETAPP!A$1:A$32,0))&amp;INDEX(ETAPP!B$1:B$32,MATCH(COUNTIF(P11:AC11,PIV!A$9),ETAPP!A$1:A$32,0))&amp;INDEX(ETAPP!B$1:B$32,MATCH(COUNTIF(P11:AC11,PIV!A$10),ETAPP!A$1:A$32,0))&amp;INDEX(ETAPP!B$1:B$32,MATCH(COUNTIF(P11:AC11,PIV!A$11),ETAPP!A$1:A$32,0))&amp;INDEX(ETAPP!B$1:B$32,MATCH(COUNTIF(P11:AC11,PIV!A$12),ETAPP!A$1:A$32,0))&amp;INDEX(ETAPP!B$1:B$32,MATCH(COUNTIF(P11:AC11,PIV!A$13),ETAPP!A$1:A$32,0))&amp;INDEX(ETAPP!B$1:B$32,MATCH(COUNTIF(P11:AC11,PIV!A$14),ETAPP!A$1:A$32,0))&amp;INDEX(ETAPP!B$1:B$32,MATCH(COUNTIF(P11:AC11,PIV!A$15),ETAPP!A$1:A$32,0))&amp;INDEX(ETAPP!B$1:B$32,MATCH(COUNTIF(P11:AC11,PIV!A$16),ETAPP!A$1:A$32,0))&amp;INDEX(ETAPP!B$1:B$32,MATCH(COUNTIF(P11:AC11,PIV!A$17),ETAPP!A$1:A$32,0))&amp;INDEX(ETAPP!B$1:B$32,MATCH(COUNTIF(P11:AC11,PIV!A$18),ETAPP!A$1:A$32,0))&amp;INDEX(ETAPP!B$1:B$32,MATCH(COUNTIF(P11:AC11,PIV!A$19),ETAPP!A$1:A$32,0))</f>
        <v>CAAAAAAAA000000000B</v>
      </c>
      <c r="K11" s="475" t="str">
        <f t="shared" ca="1" si="2"/>
        <v>294,0-CAAAAAAAA000000000B</v>
      </c>
      <c r="L11" s="476">
        <f ca="1">COUNTIF(K$8:K$64,"&gt;="&amp;K11)</f>
        <v>4</v>
      </c>
      <c r="M11" s="476">
        <f>COUNTIF(F$8:F$64,"&gt;="&amp;F11)</f>
        <v>29</v>
      </c>
      <c r="N11" s="475" t="str">
        <f t="shared" ca="1" si="3"/>
        <v>294,0-CAAAAAAAA000000000B-029</v>
      </c>
      <c r="O11" s="477">
        <f ca="1">COUNTIF(N$8:N$64,"&lt;="&amp;N11)</f>
        <v>54</v>
      </c>
      <c r="P11" s="478">
        <f>IFERROR(INDEX('1'!C$300:C$400,MATCH("*"&amp;F11&amp;"*",'1'!B$300:B$400,0)),"  ")</f>
        <v>40</v>
      </c>
      <c r="Q11" s="479">
        <f>IFERROR(INDEX('2'!C$300:C$400,MATCH("*"&amp;F11&amp;"*",'2'!B$300:B$400,0)),"  ")</f>
        <v>18</v>
      </c>
      <c r="R11" s="479" t="str">
        <f>IFERROR(INDEX('3'!C$300:C$400,MATCH("*"&amp;F11&amp;"*",'3'!B$300:B$400,0)),"  ")</f>
        <v xml:space="preserve">  </v>
      </c>
      <c r="S11" s="479" t="str">
        <f>IFERROR(INDEX('4'!C$300:C$400,MATCH("*"&amp;F11&amp;"*",'4'!B$300:B$400,0)),"  ")</f>
        <v xml:space="preserve">  </v>
      </c>
      <c r="T11" s="479">
        <f>IFERROR(INDEX('5'!C$300:C$400,MATCH("*"&amp;F11&amp;"*",'5'!B$300:B$400,0)),"  ")</f>
        <v>16</v>
      </c>
      <c r="U11" s="479">
        <f>IFERROR(INDEX('6'!C$300:C$400,MATCH("*"&amp;F11&amp;"*",'6'!B$300:B$400,0)),"  ")</f>
        <v>40</v>
      </c>
      <c r="V11" s="479">
        <f ca="1">IFERROR(INDEX('7'!C$300:C$400,MATCH("*"&amp;F11&amp;"*",'7'!B$300:B$400,0)),"  ")</f>
        <v>15</v>
      </c>
      <c r="W11" s="479">
        <f>IFERROR(INDEX('8'!C$300:C$400,MATCH("*"&amp;F11&amp;"*",'8'!B$300:B$400,0)),"  ")</f>
        <v>40</v>
      </c>
      <c r="X11" s="479">
        <f>IFERROR(INDEX('9'!C$300:C$400,MATCH("*"&amp;F11&amp;"*",'9'!B$300:B$400,0)),"  ")</f>
        <v>30</v>
      </c>
      <c r="Y11" s="479">
        <f>IFERROR(INDEX('10'!C$300:C$400,MATCH("*"&amp;F11&amp;"*",'10'!B$300:B$400,0)),"  ")</f>
        <v>34</v>
      </c>
      <c r="Z11" s="478">
        <f>IFERROR(INDEX('11'!C$300:C$400,MATCH("*"&amp;F11&amp;"*",'11'!B$300:B$400,0)),"  ")</f>
        <v>20</v>
      </c>
      <c r="AA11" s="479">
        <f>IFERROR(INDEX('12'!C$300:C$400,MATCH("*"&amp;F11&amp;"*",'12'!B$300:B$400,0)),"  ")</f>
        <v>24</v>
      </c>
      <c r="AB11" s="479">
        <f>IFERROR(INDEX('13'!C$300:C$400,MATCH("*"&amp;F11&amp;"*",'13'!B$300:B$400,0)),"  ")</f>
        <v>26</v>
      </c>
      <c r="AC11" s="479">
        <f>IFERROR(INDEX('14'!C$300:C$400,MATCH("*"&amp;F11&amp;"*",'14'!B$300:B$400,0)),"  ")</f>
        <v>22</v>
      </c>
      <c r="AD11" s="481">
        <f t="shared" ca="1" si="4"/>
        <v>12</v>
      </c>
      <c r="AE11" s="481">
        <f t="shared" ca="1" si="5"/>
        <v>5</v>
      </c>
      <c r="AF11" s="481">
        <f t="shared" ca="1" si="6"/>
        <v>3</v>
      </c>
      <c r="AG11" s="482">
        <f t="shared" si="10"/>
        <v>2.9999999999999997E-4</v>
      </c>
      <c r="AH11" s="482">
        <f t="shared" si="7"/>
        <v>4.0000000000000002E-4</v>
      </c>
      <c r="AI11" s="482">
        <f t="shared" ca="1" si="8"/>
        <v>15.0007</v>
      </c>
      <c r="AJ11" s="482">
        <f t="shared" ca="1" si="9"/>
        <v>16.000499999999999</v>
      </c>
      <c r="AK11" s="412"/>
    </row>
    <row r="12" spans="1:37" x14ac:dyDescent="0.2">
      <c r="A12" s="467" t="str">
        <f>IFERROR(RANK(B12,B$8:B$64,1),"")</f>
        <v/>
      </c>
      <c r="B12" s="468" t="str">
        <f t="shared" si="0"/>
        <v/>
      </c>
      <c r="C12" s="469" t="str">
        <f>IFERROR(RANK(D12,D$8:D$64,1),"")</f>
        <v/>
      </c>
      <c r="D12" s="470" t="str">
        <f t="shared" si="1"/>
        <v/>
      </c>
      <c r="E12" s="471">
        <f ca="1">RANK(L12,L$8:L$64,1)</f>
        <v>5</v>
      </c>
      <c r="F12" s="484" t="s">
        <v>223</v>
      </c>
      <c r="G12" s="472"/>
      <c r="H12" s="473"/>
      <c r="I12" s="474">
        <f ca="1">(IF(COUNT(P12,R12,X12,Y12)&lt;3,SUM(P12,R12,X12,Y12),SUM(LARGE((P12,R12,X12,Y12),{1;2;3}))))+(IF(COUNT(Q12,S12,U12,W12)&lt;3,SUM(Q12,S12,U12,W12),SUM(LARGE((Q12,S12,U12,W12),{1;2;3}))))+(IF(COUNT(T12,V12,Z12,AA12,AB12,AC12)&lt;4,SUM(T12,V12,Z12,AA12,AB12,AC12),SUM(LARGE((T12,V12,Z12,AA12,AB12,AC12),{1;2;3;4}))))</f>
        <v>258</v>
      </c>
      <c r="J12" s="475" t="str">
        <f ca="1">INDEX(ETAPP!B$1:B$32,MATCH(COUNTIF(P12:AC12,PIV!A$1),ETAPP!A$1:A$32,0))&amp;INDEX(ETAPP!B$1:B$32,MATCH(COUNTIF(P12:AC12,PIV!A$2),ETAPP!A$1:A$32,0))&amp;INDEX(ETAPP!B$1:B$32,MATCH(COUNTIF(P12:AC12,PIV!A$3),ETAPP!A$1:A$32,0))&amp;INDEX(ETAPP!B$1:B$32,MATCH(COUNTIF(P12:AC12,PIV!A$4),ETAPP!A$1:A$32,0))&amp;INDEX(ETAPP!B$1:B$32,MATCH(COUNTIF(P12:AC12,PIV!A$5),ETAPP!A$1:A$32,0))&amp;INDEX(ETAPP!B$1:B$32,MATCH(COUNTIF(P12:AC12,PIV!A$6),ETAPP!A$1:A$32,0))&amp;INDEX(ETAPP!B$1:B$32,MATCH(COUNTIF(P12:AC12,PIV!A$7),ETAPP!A$1:A$32,0))&amp;INDEX(ETAPP!B$1:B$32,MATCH(COUNTIF(P12:AC12,PIV!A$8),ETAPP!A$1:A$32,0))&amp;INDEX(ETAPP!B$1:B$32,MATCH(COUNTIF(P12:AC12,PIV!A$9),ETAPP!A$1:A$32,0))&amp;INDEX(ETAPP!B$1:B$32,MATCH(COUNTIF(P12:AC12,PIV!A$10),ETAPP!A$1:A$32,0))&amp;INDEX(ETAPP!B$1:B$32,MATCH(COUNTIF(P12:AC12,PIV!A$11),ETAPP!A$1:A$32,0))&amp;INDEX(ETAPP!B$1:B$32,MATCH(COUNTIF(P12:AC12,PIV!A$12),ETAPP!A$1:A$32,0))&amp;INDEX(ETAPP!B$1:B$32,MATCH(COUNTIF(P12:AC12,PIV!A$13),ETAPP!A$1:A$32,0))&amp;INDEX(ETAPP!B$1:B$32,MATCH(COUNTIF(P12:AC12,PIV!A$14),ETAPP!A$1:A$32,0))&amp;INDEX(ETAPP!B$1:B$32,MATCH(COUNTIF(P12:AC12,PIV!A$15),ETAPP!A$1:A$32,0))&amp;INDEX(ETAPP!B$1:B$32,MATCH(COUNTIF(P12:AC12,PIV!A$16),ETAPP!A$1:A$32,0))&amp;INDEX(ETAPP!B$1:B$32,MATCH(COUNTIF(P12:AC12,PIV!A$17),ETAPP!A$1:A$32,0))&amp;INDEX(ETAPP!B$1:B$32,MATCH(COUNTIF(P12:AC12,PIV!A$18),ETAPP!A$1:A$32,0))&amp;INDEX(ETAPP!B$1:B$32,MATCH(COUNTIF(P12:AC12,PIV!A$19),ETAPP!A$1:A$32,0))</f>
        <v>BA0CA0AB0A000A00A0A</v>
      </c>
      <c r="K12" s="475" t="str">
        <f t="shared" ca="1" si="2"/>
        <v>258,0-BA0CA0AB0A000A00A0A</v>
      </c>
      <c r="L12" s="476">
        <f ca="1">COUNTIF(K$8:K$64,"&gt;="&amp;K12)</f>
        <v>5</v>
      </c>
      <c r="M12" s="476">
        <f>COUNTIF(F$8:F$64,"&gt;="&amp;F12)</f>
        <v>25</v>
      </c>
      <c r="N12" s="475" t="str">
        <f t="shared" ca="1" si="3"/>
        <v>258,0-BA0CA0AB0A000A00A0A-025</v>
      </c>
      <c r="O12" s="477">
        <f ca="1">COUNTIF(N$8:N$64,"&lt;="&amp;N12)</f>
        <v>53</v>
      </c>
      <c r="P12" s="478">
        <f>IFERROR(INDEX('1'!C$300:C$400,MATCH("*"&amp;F12&amp;"*",'1'!B$300:B$400,0)),"  ")</f>
        <v>40</v>
      </c>
      <c r="Q12" s="479">
        <f>IFERROR(INDEX('2'!C$300:C$400,MATCH("*"&amp;F12&amp;"*",'2'!B$300:B$400,0)),"  ")</f>
        <v>14</v>
      </c>
      <c r="R12" s="479">
        <f>IFERROR(INDEX('3'!C$300:C$400,MATCH("*"&amp;F12&amp;"*",'3'!B$300:B$400,0)),"  ")</f>
        <v>26</v>
      </c>
      <c r="S12" s="479">
        <f>IFERROR(INDEX('4'!C$300:C$400,MATCH("*"&amp;F12&amp;"*",'4'!B$300:B$400,0)),"  ")</f>
        <v>40</v>
      </c>
      <c r="T12" s="479">
        <f>IFERROR(INDEX('5'!C$300:C$400,MATCH("*"&amp;F12&amp;"*",'5'!B$300:B$400,0)),"  ")</f>
        <v>34</v>
      </c>
      <c r="U12" s="479">
        <f>IFERROR(INDEX('6'!C$300:C$400,MATCH("*"&amp;F12&amp;"*",'6'!B$300:B$400,0)),"  ")</f>
        <v>24</v>
      </c>
      <c r="V12" s="479">
        <f ca="1">IFERROR(INDEX('7'!C$300:C$400,MATCH("*"&amp;F12&amp;"*",'7'!B$300:B$400,0)),"  ")</f>
        <v>18</v>
      </c>
      <c r="W12" s="479">
        <f>IFERROR(INDEX('8'!C$300:C$400,MATCH("*"&amp;F12&amp;"*",'8'!B$300:B$400,0)),"  ")</f>
        <v>18</v>
      </c>
      <c r="X12" s="479">
        <f>IFERROR(INDEX('9'!C$300:C$400,MATCH("*"&amp;F12&amp;"*",'9'!B$300:B$400,0)),"  ")</f>
        <v>20</v>
      </c>
      <c r="Y12" s="479">
        <f>IFERROR(INDEX('10'!C$300:C$400,MATCH("*"&amp;F12&amp;"*",'10'!B$300:B$400,0)),"  ")</f>
        <v>26</v>
      </c>
      <c r="Z12" s="478">
        <f>IFERROR(INDEX('11'!C$300:C$400,MATCH("*"&amp;F12&amp;"*",'11'!B$300:B$400,0)),"  ")</f>
        <v>26</v>
      </c>
      <c r="AA12" s="479" t="str">
        <f>IFERROR(INDEX('12'!C$300:C$400,MATCH("*"&amp;F12&amp;"*",'12'!B$300:B$400,0)),"  ")</f>
        <v xml:space="preserve">  </v>
      </c>
      <c r="AB12" s="479">
        <f>IFERROR(INDEX('13'!C$300:C$400,MATCH("*"&amp;F12&amp;"*",'13'!B$300:B$400,0)),"  ")</f>
        <v>1</v>
      </c>
      <c r="AC12" s="479">
        <f>IFERROR(INDEX('14'!C$300:C$400,MATCH("*"&amp;F12&amp;"*",'14'!B$300:B$400,0)),"  ")</f>
        <v>6</v>
      </c>
      <c r="AD12" s="481">
        <f t="shared" ca="1" si="4"/>
        <v>13</v>
      </c>
      <c r="AE12" s="481">
        <f t="shared" ca="1" si="5"/>
        <v>3</v>
      </c>
      <c r="AF12" s="481">
        <f t="shared" ca="1" si="6"/>
        <v>2</v>
      </c>
      <c r="AG12" s="482">
        <f t="shared" si="10"/>
        <v>20.000900000000001</v>
      </c>
      <c r="AH12" s="482">
        <f t="shared" si="7"/>
        <v>14.0002</v>
      </c>
      <c r="AI12" s="482">
        <f t="shared" ca="1" si="8"/>
        <v>1.1999999999999999E-3</v>
      </c>
      <c r="AJ12" s="482">
        <f t="shared" ca="1" si="9"/>
        <v>1.0013000000000001</v>
      </c>
      <c r="AK12" s="412"/>
    </row>
    <row r="13" spans="1:37" x14ac:dyDescent="0.2">
      <c r="A13" s="467" t="str">
        <f>IFERROR(RANK(B13,B$8:B$64,1),"")</f>
        <v/>
      </c>
      <c r="B13" s="468" t="str">
        <f t="shared" si="0"/>
        <v/>
      </c>
      <c r="C13" s="469" t="str">
        <f>IFERROR(RANK(D13,D$8:D$64,1),"")</f>
        <v/>
      </c>
      <c r="D13" s="470" t="str">
        <f t="shared" si="1"/>
        <v/>
      </c>
      <c r="E13" s="471">
        <f ca="1">RANK(L13,L$8:L$64,1)</f>
        <v>6</v>
      </c>
      <c r="F13" s="485" t="s">
        <v>224</v>
      </c>
      <c r="G13" s="472"/>
      <c r="H13" s="473"/>
      <c r="I13" s="474">
        <f ca="1">(IF(COUNT(P13,R13,X13,Y13)&lt;3,SUM(P13,R13,X13,Y13),SUM(LARGE((P13,R13,X13,Y13),{1;2;3}))))+(IF(COUNT(Q13,S13,U13,W13)&lt;3,SUM(Q13,S13,U13,W13),SUM(LARGE((Q13,S13,U13,W13),{1;2;3}))))+(IF(COUNT(T13,V13,Z13,AA13,AB13,AC13)&lt;4,SUM(T13,V13,Z13,AA13,AB13,AC13),SUM(LARGE((T13,V13,Z13,AA13,AB13,AC13),{1;2;3;4}))))</f>
        <v>258</v>
      </c>
      <c r="J13" s="475" t="str">
        <f ca="1">INDEX(ETAPP!B$1:B$32,MATCH(COUNTIF(P13:AC13,PIV!A$1),ETAPP!A$1:A$32,0))&amp;INDEX(ETAPP!B$1:B$32,MATCH(COUNTIF(P13:AC13,PIV!A$2),ETAPP!A$1:A$32,0))&amp;INDEX(ETAPP!B$1:B$32,MATCH(COUNTIF(P13:AC13,PIV!A$3),ETAPP!A$1:A$32,0))&amp;INDEX(ETAPP!B$1:B$32,MATCH(COUNTIF(P13:AC13,PIV!A$4),ETAPP!A$1:A$32,0))&amp;INDEX(ETAPP!B$1:B$32,MATCH(COUNTIF(P13:AC13,PIV!A$5),ETAPP!A$1:A$32,0))&amp;INDEX(ETAPP!B$1:B$32,MATCH(COUNTIF(P13:AC13,PIV!A$6),ETAPP!A$1:A$32,0))&amp;INDEX(ETAPP!B$1:B$32,MATCH(COUNTIF(P13:AC13,PIV!A$7),ETAPP!A$1:A$32,0))&amp;INDEX(ETAPP!B$1:B$32,MATCH(COUNTIF(P13:AC13,PIV!A$8),ETAPP!A$1:A$32,0))&amp;INDEX(ETAPP!B$1:B$32,MATCH(COUNTIF(P13:AC13,PIV!A$9),ETAPP!A$1:A$32,0))&amp;INDEX(ETAPP!B$1:B$32,MATCH(COUNTIF(P13:AC13,PIV!A$10),ETAPP!A$1:A$32,0))&amp;INDEX(ETAPP!B$1:B$32,MATCH(COUNTIF(P13:AC13,PIV!A$11),ETAPP!A$1:A$32,0))&amp;INDEX(ETAPP!B$1:B$32,MATCH(COUNTIF(P13:AC13,PIV!A$12),ETAPP!A$1:A$32,0))&amp;INDEX(ETAPP!B$1:B$32,MATCH(COUNTIF(P13:AC13,PIV!A$13),ETAPP!A$1:A$32,0))&amp;INDEX(ETAPP!B$1:B$32,MATCH(COUNTIF(P13:AC13,PIV!A$14),ETAPP!A$1:A$32,0))&amp;INDEX(ETAPP!B$1:B$32,MATCH(COUNTIF(P13:AC13,PIV!A$15),ETAPP!A$1:A$32,0))&amp;INDEX(ETAPP!B$1:B$32,MATCH(COUNTIF(P13:AC13,PIV!A$16),ETAPP!A$1:A$32,0))&amp;INDEX(ETAPP!B$1:B$32,MATCH(COUNTIF(P13:AC13,PIV!A$17),ETAPP!A$1:A$32,0))&amp;INDEX(ETAPP!B$1:B$32,MATCH(COUNTIF(P13:AC13,PIV!A$18),ETAPP!A$1:A$32,0))&amp;INDEX(ETAPP!B$1:B$32,MATCH(COUNTIF(P13:AC13,PIV!A$19),ETAPP!A$1:A$32,0))</f>
        <v>AC0AAB0A0AAA000000B</v>
      </c>
      <c r="K13" s="475" t="str">
        <f t="shared" ca="1" si="2"/>
        <v>258,0-AC0AAB0A0AAA000000B</v>
      </c>
      <c r="L13" s="476">
        <f ca="1">COUNTIF(K$8:K$64,"&gt;="&amp;K13)</f>
        <v>6</v>
      </c>
      <c r="M13" s="476">
        <f>COUNTIF(F$8:F$64,"&gt;="&amp;F13)</f>
        <v>50</v>
      </c>
      <c r="N13" s="475" t="str">
        <f t="shared" ca="1" si="3"/>
        <v>258,0-AC0AAB0A0AAA000000B-050</v>
      </c>
      <c r="O13" s="477">
        <f ca="1">COUNTIF(N$8:N$64,"&lt;="&amp;N13)</f>
        <v>52</v>
      </c>
      <c r="P13" s="478" t="str">
        <f>IFERROR(INDEX('1'!C$300:C$400,MATCH("*"&amp;F13&amp;"*",'1'!B$300:B$400,0)),"  ")</f>
        <v xml:space="preserve">  </v>
      </c>
      <c r="Q13" s="479">
        <f>IFERROR(INDEX('2'!C$300:C$400,MATCH("*"&amp;F13&amp;"*",'2'!B$300:B$400,0)),"  ")</f>
        <v>40</v>
      </c>
      <c r="R13" s="479">
        <f>IFERROR(INDEX('3'!C$300:C$400,MATCH("*"&amp;F13&amp;"*",'3'!B$300:B$400,0)),"  ")</f>
        <v>34</v>
      </c>
      <c r="S13" s="479">
        <f>IFERROR(INDEX('4'!C$300:C$400,MATCH("*"&amp;F13&amp;"*",'4'!B$300:B$400,0)),"  ")</f>
        <v>22</v>
      </c>
      <c r="T13" s="479">
        <f>IFERROR(INDEX('5'!C$300:C$400,MATCH("*"&amp;F13&amp;"*",'5'!B$300:B$400,0)),"  ")</f>
        <v>24</v>
      </c>
      <c r="U13" s="479">
        <f>IFERROR(INDEX('6'!C$300:C$400,MATCH("*"&amp;F13&amp;"*",'6'!B$300:B$400,0)),"  ")</f>
        <v>34</v>
      </c>
      <c r="V13" s="479" t="str">
        <f ca="1">IFERROR(INDEX('7'!C$300:C$400,MATCH("*"&amp;F13&amp;"*",'7'!B$300:B$400,0)),"  ")</f>
        <v xml:space="preserve">  </v>
      </c>
      <c r="W13" s="479">
        <f>IFERROR(INDEX('8'!C$300:C$400,MATCH("*"&amp;F13&amp;"*",'8'!B$300:B$400,0)),"  ")</f>
        <v>34</v>
      </c>
      <c r="X13" s="479">
        <f>IFERROR(INDEX('9'!C$300:C$400,MATCH("*"&amp;F13&amp;"*",'9'!B$300:B$400,0)),"  ")</f>
        <v>18</v>
      </c>
      <c r="Y13" s="479">
        <f>IFERROR(INDEX('10'!C$300:C$400,MATCH("*"&amp;F13&amp;"*",'10'!B$300:B$400,0)),"  ")</f>
        <v>22</v>
      </c>
      <c r="Z13" s="478">
        <f>IFERROR(INDEX('11'!C$300:C$400,MATCH("*"&amp;F13&amp;"*",'11'!B$300:B$400,0)),"  ")</f>
        <v>14</v>
      </c>
      <c r="AA13" s="479">
        <f>IFERROR(INDEX('12'!C$300:C$400,MATCH("*"&amp;F13&amp;"*",'12'!B$300:B$400,0)),"  ")</f>
        <v>26</v>
      </c>
      <c r="AB13" s="479">
        <f>IFERROR(INDEX('13'!C$300:C$400,MATCH("*"&amp;F13&amp;"*",'13'!B$300:B$400,0)),"  ")</f>
        <v>10</v>
      </c>
      <c r="AC13" s="479">
        <f>IFERROR(INDEX('14'!C$300:C$400,MATCH("*"&amp;F13&amp;"*",'14'!B$300:B$400,0)),"  ")</f>
        <v>12</v>
      </c>
      <c r="AD13" s="481">
        <f t="shared" ca="1" si="4"/>
        <v>12</v>
      </c>
      <c r="AE13" s="481">
        <f t="shared" ca="1" si="5"/>
        <v>4</v>
      </c>
      <c r="AF13" s="481">
        <f t="shared" ca="1" si="6"/>
        <v>1</v>
      </c>
      <c r="AG13" s="482">
        <f t="shared" si="10"/>
        <v>1E-4</v>
      </c>
      <c r="AH13" s="482">
        <f t="shared" si="7"/>
        <v>22.000399999999999</v>
      </c>
      <c r="AI13" s="482">
        <f t="shared" ca="1" si="8"/>
        <v>6.9999999999999999E-4</v>
      </c>
      <c r="AJ13" s="482">
        <f t="shared" ca="1" si="9"/>
        <v>10.001300000000001</v>
      </c>
      <c r="AK13" s="412"/>
    </row>
    <row r="14" spans="1:37" x14ac:dyDescent="0.2">
      <c r="A14" s="467" t="str">
        <f>IFERROR(RANK(B14,B$8:B$64,1),"")</f>
        <v/>
      </c>
      <c r="B14" s="468" t="str">
        <f t="shared" si="0"/>
        <v/>
      </c>
      <c r="C14" s="469" t="str">
        <f>IFERROR(RANK(D14,D$8:D$64,1),"")</f>
        <v/>
      </c>
      <c r="D14" s="470" t="str">
        <f t="shared" si="1"/>
        <v/>
      </c>
      <c r="E14" s="471">
        <f ca="1">RANK(L14,L$8:L$64,1)</f>
        <v>7</v>
      </c>
      <c r="F14" s="486" t="s">
        <v>225</v>
      </c>
      <c r="G14" s="472"/>
      <c r="H14" s="473"/>
      <c r="I14" s="474">
        <f ca="1">(IF(COUNT(P14,R14,X14,Y14)&lt;3,SUM(P14,R14,X14,Y14),SUM(LARGE((P14,R14,X14,Y14),{1;2;3}))))+(IF(COUNT(Q14,S14,U14,W14)&lt;3,SUM(Q14,S14,U14,W14),SUM(LARGE((Q14,S14,U14,W14),{1;2;3}))))+(IF(COUNT(T14,V14,Z14,AA14,AB14,AC14)&lt;4,SUM(T14,V14,Z14,AA14,AB14,AC14),SUM(LARGE((T14,V14,Z14,AA14,AB14,AC14),{1;2;3;4}))))</f>
        <v>258</v>
      </c>
      <c r="J14" s="475" t="str">
        <f ca="1">INDEX(ETAPP!B$1:B$32,MATCH(COUNTIF(P14:AC14,PIV!A$1),ETAPP!A$1:A$32,0))&amp;INDEX(ETAPP!B$1:B$32,MATCH(COUNTIF(P14:AC14,PIV!A$2),ETAPP!A$1:A$32,0))&amp;INDEX(ETAPP!B$1:B$32,MATCH(COUNTIF(P14:AC14,PIV!A$3),ETAPP!A$1:A$32,0))&amp;INDEX(ETAPP!B$1:B$32,MATCH(COUNTIF(P14:AC14,PIV!A$4),ETAPP!A$1:A$32,0))&amp;INDEX(ETAPP!B$1:B$32,MATCH(COUNTIF(P14:AC14,PIV!A$5),ETAPP!A$1:A$32,0))&amp;INDEX(ETAPP!B$1:B$32,MATCH(COUNTIF(P14:AC14,PIV!A$6),ETAPP!A$1:A$32,0))&amp;INDEX(ETAPP!B$1:B$32,MATCH(COUNTIF(P14:AC14,PIV!A$7),ETAPP!A$1:A$32,0))&amp;INDEX(ETAPP!B$1:B$32,MATCH(COUNTIF(P14:AC14,PIV!A$8),ETAPP!A$1:A$32,0))&amp;INDEX(ETAPP!B$1:B$32,MATCH(COUNTIF(P14:AC14,PIV!A$9),ETAPP!A$1:A$32,0))&amp;INDEX(ETAPP!B$1:B$32,MATCH(COUNTIF(P14:AC14,PIV!A$10),ETAPP!A$1:A$32,0))&amp;INDEX(ETAPP!B$1:B$32,MATCH(COUNTIF(P14:AC14,PIV!A$11),ETAPP!A$1:A$32,0))&amp;INDEX(ETAPP!B$1:B$32,MATCH(COUNTIF(P14:AC14,PIV!A$12),ETAPP!A$1:A$32,0))&amp;INDEX(ETAPP!B$1:B$32,MATCH(COUNTIF(P14:AC14,PIV!A$13),ETAPP!A$1:A$32,0))&amp;INDEX(ETAPP!B$1:B$32,MATCH(COUNTIF(P14:AC14,PIV!A$14),ETAPP!A$1:A$32,0))&amp;INDEX(ETAPP!B$1:B$32,MATCH(COUNTIF(P14:AC14,PIV!A$15),ETAPP!A$1:A$32,0))&amp;INDEX(ETAPP!B$1:B$32,MATCH(COUNTIF(P14:AC14,PIV!A$16),ETAPP!A$1:A$32,0))&amp;INDEX(ETAPP!B$1:B$32,MATCH(COUNTIF(P14:AC14,PIV!A$17),ETAPP!A$1:A$32,0))&amp;INDEX(ETAPP!B$1:B$32,MATCH(COUNTIF(P14:AC14,PIV!A$18),ETAPP!A$1:A$32,0))&amp;INDEX(ETAPP!B$1:B$32,MATCH(COUNTIF(P14:AC14,PIV!A$19),ETAPP!A$1:A$32,0))</f>
        <v>0AADBAA0AA00000000B</v>
      </c>
      <c r="K14" s="475" t="str">
        <f t="shared" ca="1" si="2"/>
        <v>258,0-0AADBAA0AA00000000B</v>
      </c>
      <c r="L14" s="476">
        <f ca="1">COUNTIF(K$8:K$64,"&gt;="&amp;K14)</f>
        <v>7</v>
      </c>
      <c r="M14" s="476">
        <f>COUNTIF(F$8:F$64,"&gt;="&amp;F14)</f>
        <v>37</v>
      </c>
      <c r="N14" s="475" t="str">
        <f t="shared" ca="1" si="3"/>
        <v>258,0-0AADBAA0AA00000000B-037</v>
      </c>
      <c r="O14" s="477">
        <f ca="1">COUNTIF(N$8:N$64,"&lt;="&amp;N14)</f>
        <v>51</v>
      </c>
      <c r="P14" s="478" t="str">
        <f>IFERROR(INDEX('1'!C$300:C$400,MATCH("*"&amp;F14&amp;"*",'1'!B$300:B$400,0)),"  ")</f>
        <v xml:space="preserve">  </v>
      </c>
      <c r="Q14" s="479">
        <f>IFERROR(INDEX('2'!C$300:C$400,MATCH("*"&amp;F14&amp;"*",'2'!B$300:B$400,0)),"  ")</f>
        <v>24</v>
      </c>
      <c r="R14" s="479">
        <f>IFERROR(INDEX('3'!C$300:C$400,MATCH("*"&amp;F14&amp;"*",'3'!B$300:B$400,0)),"  ")</f>
        <v>26</v>
      </c>
      <c r="S14" s="479">
        <f>IFERROR(INDEX('4'!C$300:C$400,MATCH("*"&amp;F14&amp;"*",'4'!B$300:B$400,0)),"  ")</f>
        <v>14</v>
      </c>
      <c r="T14" s="479" t="str">
        <f>IFERROR(INDEX('5'!C$300:C$400,MATCH("*"&amp;F14&amp;"*",'5'!B$300:B$400,0)),"  ")</f>
        <v xml:space="preserve">  </v>
      </c>
      <c r="U14" s="479">
        <f>IFERROR(INDEX('6'!C$300:C$400,MATCH("*"&amp;F14&amp;"*",'6'!B$300:B$400,0)),"  ")</f>
        <v>20</v>
      </c>
      <c r="V14" s="479">
        <f ca="1">IFERROR(INDEX('7'!C$300:C$400,MATCH("*"&amp;F14&amp;"*",'7'!B$300:B$400,0)),"  ")</f>
        <v>24</v>
      </c>
      <c r="W14" s="479">
        <f>IFERROR(INDEX('8'!C$300:C$400,MATCH("*"&amp;F14&amp;"*",'8'!B$300:B$400,0)),"  ")</f>
        <v>26</v>
      </c>
      <c r="X14" s="479">
        <f>IFERROR(INDEX('9'!C$300:C$400,MATCH("*"&amp;F14&amp;"*",'9'!B$300:B$400,0)),"  ")</f>
        <v>22</v>
      </c>
      <c r="Y14" s="479">
        <f>IFERROR(INDEX('10'!C$300:C$400,MATCH("*"&amp;F14&amp;"*",'10'!B$300:B$400,0)),"  ")</f>
        <v>26</v>
      </c>
      <c r="Z14" s="478">
        <f>IFERROR(INDEX('11'!C$300:C$400,MATCH("*"&amp;F14&amp;"*",'11'!B$300:B$400,0)),"  ")</f>
        <v>30</v>
      </c>
      <c r="AA14" s="479">
        <f>IFERROR(INDEX('12'!C$300:C$400,MATCH("*"&amp;F14&amp;"*",'12'!B$300:B$400,0)),"  ")</f>
        <v>34</v>
      </c>
      <c r="AB14" s="479">
        <f>IFERROR(INDEX('13'!C$300:C$400,MATCH("*"&amp;F14&amp;"*",'13'!B$300:B$400,0)),"  ")</f>
        <v>16</v>
      </c>
      <c r="AC14" s="479">
        <f>IFERROR(INDEX('14'!C$300:C$400,MATCH("*"&amp;F14&amp;"*",'14'!B$300:B$400,0)),"  ")</f>
        <v>26</v>
      </c>
      <c r="AD14" s="481">
        <f t="shared" ca="1" si="4"/>
        <v>12</v>
      </c>
      <c r="AE14" s="481">
        <f t="shared" ca="1" si="5"/>
        <v>2</v>
      </c>
      <c r="AF14" s="481">
        <f t="shared" ca="1" si="6"/>
        <v>0</v>
      </c>
      <c r="AG14" s="482">
        <f t="shared" si="10"/>
        <v>1E-4</v>
      </c>
      <c r="AH14" s="482">
        <f t="shared" si="7"/>
        <v>14.000400000000001</v>
      </c>
      <c r="AI14" s="482">
        <f t="shared" ca="1" si="8"/>
        <v>5.0000000000000001E-4</v>
      </c>
      <c r="AJ14" s="482">
        <f t="shared" ca="1" si="9"/>
        <v>16.001300000000001</v>
      </c>
      <c r="AK14" s="412"/>
    </row>
    <row r="15" spans="1:37" x14ac:dyDescent="0.2">
      <c r="A15" s="467" t="str">
        <f>IFERROR(RANK(B15,B$8:B$64,1),"")</f>
        <v/>
      </c>
      <c r="B15" s="468" t="str">
        <f t="shared" si="0"/>
        <v/>
      </c>
      <c r="C15" s="469" t="str">
        <f>IFERROR(RANK(D15,D$8:D$64,1),"")</f>
        <v/>
      </c>
      <c r="D15" s="470" t="str">
        <f t="shared" si="1"/>
        <v/>
      </c>
      <c r="E15" s="471">
        <f ca="1">RANK(L15,L$8:L$64,1)</f>
        <v>8</v>
      </c>
      <c r="F15" s="487" t="s">
        <v>226</v>
      </c>
      <c r="G15" s="472"/>
      <c r="H15" s="473"/>
      <c r="I15" s="474">
        <f ca="1">(IF(COUNT(P15,R15,X15,Y15)&lt;3,SUM(P15,R15,X15,Y15),SUM(LARGE((P15,R15,X15,Y15),{1;2;3}))))+(IF(COUNT(Q15,S15,U15,W15)&lt;3,SUM(Q15,S15,U15,W15),SUM(LARGE((Q15,S15,U15,W15),{1;2;3}))))+(IF(COUNT(T15,V15,Z15,AA15,AB15,AC15)&lt;4,SUM(T15,V15,Z15,AA15,AB15,AC15),SUM(LARGE((T15,V15,Z15,AA15,AB15,AC15),{1;2;3;4}))))</f>
        <v>250</v>
      </c>
      <c r="J15" s="475" t="str">
        <f ca="1">INDEX(ETAPP!B$1:B$32,MATCH(COUNTIF(P15:AC15,PIV!A$1),ETAPP!A$1:A$32,0))&amp;INDEX(ETAPP!B$1:B$32,MATCH(COUNTIF(P15:AC15,PIV!A$2),ETAPP!A$1:A$32,0))&amp;INDEX(ETAPP!B$1:B$32,MATCH(COUNTIF(P15:AC15,PIV!A$3),ETAPP!A$1:A$32,0))&amp;INDEX(ETAPP!B$1:B$32,MATCH(COUNTIF(P15:AC15,PIV!A$4),ETAPP!A$1:A$32,0))&amp;INDEX(ETAPP!B$1:B$32,MATCH(COUNTIF(P15:AC15,PIV!A$5),ETAPP!A$1:A$32,0))&amp;INDEX(ETAPP!B$1:B$32,MATCH(COUNTIF(P15:AC15,PIV!A$6),ETAPP!A$1:A$32,0))&amp;INDEX(ETAPP!B$1:B$32,MATCH(COUNTIF(P15:AC15,PIV!A$7),ETAPP!A$1:A$32,0))&amp;INDEX(ETAPP!B$1:B$32,MATCH(COUNTIF(P15:AC15,PIV!A$8),ETAPP!A$1:A$32,0))&amp;INDEX(ETAPP!B$1:B$32,MATCH(COUNTIF(P15:AC15,PIV!A$9),ETAPP!A$1:A$32,0))&amp;INDEX(ETAPP!B$1:B$32,MATCH(COUNTIF(P15:AC15,PIV!A$10),ETAPP!A$1:A$32,0))&amp;INDEX(ETAPP!B$1:B$32,MATCH(COUNTIF(P15:AC15,PIV!A$11),ETAPP!A$1:A$32,0))&amp;INDEX(ETAPP!B$1:B$32,MATCH(COUNTIF(P15:AC15,PIV!A$12),ETAPP!A$1:A$32,0))&amp;INDEX(ETAPP!B$1:B$32,MATCH(COUNTIF(P15:AC15,PIV!A$13),ETAPP!A$1:A$32,0))&amp;INDEX(ETAPP!B$1:B$32,MATCH(COUNTIF(P15:AC15,PIV!A$14),ETAPP!A$1:A$32,0))&amp;INDEX(ETAPP!B$1:B$32,MATCH(COUNTIF(P15:AC15,PIV!A$15),ETAPP!A$1:A$32,0))&amp;INDEX(ETAPP!B$1:B$32,MATCH(COUNTIF(P15:AC15,PIV!A$16),ETAPP!A$1:A$32,0))&amp;INDEX(ETAPP!B$1:B$32,MATCH(COUNTIF(P15:AC15,PIV!A$17),ETAPP!A$1:A$32,0))&amp;INDEX(ETAPP!B$1:B$32,MATCH(COUNTIF(P15:AC15,PIV!A$18),ETAPP!A$1:A$32,0))&amp;INDEX(ETAPP!B$1:B$32,MATCH(COUNTIF(P15:AC15,PIV!A$19),ETAPP!A$1:A$32,0))</f>
        <v>AC00BB0B00A0A000A0A</v>
      </c>
      <c r="K15" s="475" t="str">
        <f t="shared" ca="1" si="2"/>
        <v>250,0-AC00BB0B00A0A000A0A</v>
      </c>
      <c r="L15" s="476">
        <f ca="1">COUNTIF(K$8:K$64,"&gt;="&amp;K15)</f>
        <v>8</v>
      </c>
      <c r="M15" s="476">
        <f>COUNTIF(F$8:F$64,"&gt;="&amp;F15)</f>
        <v>12</v>
      </c>
      <c r="N15" s="475" t="str">
        <f t="shared" ca="1" si="3"/>
        <v>250,0-AC00BB0B00A0A000A0A-012</v>
      </c>
      <c r="O15" s="477">
        <f ca="1">COUNTIF(N$8:N$64,"&lt;="&amp;N15)</f>
        <v>50</v>
      </c>
      <c r="P15" s="478">
        <f>IFERROR(INDEX('1'!C$300:C$400,MATCH("*"&amp;F15&amp;"*",'1'!B$300:B$400,0)),"  ")</f>
        <v>24</v>
      </c>
      <c r="Q15" s="479">
        <f>IFERROR(INDEX('2'!C$300:C$400,MATCH("*"&amp;F15&amp;"*",'2'!B$300:B$400,0)),"  ")</f>
        <v>40</v>
      </c>
      <c r="R15" s="479">
        <f>IFERROR(INDEX('3'!C$300:C$400,MATCH("*"&amp;F15&amp;"*",'3'!B$300:B$400,0)),"  ")</f>
        <v>34</v>
      </c>
      <c r="S15" s="479">
        <f>IFERROR(INDEX('4'!C$300:C$400,MATCH("*"&amp;F15&amp;"*",'4'!B$300:B$400,0)),"  ")</f>
        <v>22</v>
      </c>
      <c r="T15" s="479">
        <f>IFERROR(INDEX('5'!C$300:C$400,MATCH("*"&amp;F15&amp;"*",'5'!B$300:B$400,0)),"  ")</f>
        <v>18</v>
      </c>
      <c r="U15" s="479">
        <f>IFERROR(INDEX('6'!C$300:C$400,MATCH("*"&amp;F15&amp;"*",'6'!B$300:B$400,0)),"  ")</f>
        <v>34</v>
      </c>
      <c r="V15" s="479" t="str">
        <f ca="1">IFERROR(INDEX('7'!C$300:C$400,MATCH("*"&amp;F15&amp;"*",'7'!B$300:B$400,0)),"  ")</f>
        <v xml:space="preserve">  </v>
      </c>
      <c r="W15" s="479">
        <f>IFERROR(INDEX('8'!C$300:C$400,MATCH("*"&amp;F15&amp;"*",'8'!B$300:B$400,0)),"  ")</f>
        <v>34</v>
      </c>
      <c r="X15" s="479">
        <f>IFERROR(INDEX('9'!C$300:C$400,MATCH("*"&amp;F15&amp;"*",'9'!B$300:B$400,0)),"  ")</f>
        <v>18</v>
      </c>
      <c r="Y15" s="479">
        <f>IFERROR(INDEX('10'!C$300:C$400,MATCH("*"&amp;F15&amp;"*",'10'!B$300:B$400,0)),"  ")</f>
        <v>22</v>
      </c>
      <c r="Z15" s="478">
        <f>IFERROR(INDEX('11'!C$300:C$400,MATCH("*"&amp;F15&amp;"*",'11'!B$300:B$400,0)),"  ")</f>
        <v>8</v>
      </c>
      <c r="AA15" s="479">
        <f>IFERROR(INDEX('12'!C$300:C$400,MATCH("*"&amp;F15&amp;"*",'12'!B$300:B$400,0)),"  ")</f>
        <v>12</v>
      </c>
      <c r="AB15" s="479">
        <f>IFERROR(INDEX('13'!C$300:C$400,MATCH("*"&amp;F15&amp;"*",'13'!B$300:B$400,0)),"  ")</f>
        <v>24</v>
      </c>
      <c r="AC15" s="479">
        <f>IFERROR(INDEX('14'!C$300:C$400,MATCH("*"&amp;F15&amp;"*",'14'!B$300:B$400,0)),"  ")</f>
        <v>1</v>
      </c>
      <c r="AD15" s="481">
        <f t="shared" ca="1" si="4"/>
        <v>13</v>
      </c>
      <c r="AE15" s="481">
        <f t="shared" ca="1" si="5"/>
        <v>4</v>
      </c>
      <c r="AF15" s="481">
        <f t="shared" ca="1" si="6"/>
        <v>1</v>
      </c>
      <c r="AG15" s="482">
        <f t="shared" si="10"/>
        <v>18.000900000000001</v>
      </c>
      <c r="AH15" s="482">
        <f t="shared" si="7"/>
        <v>22.000399999999999</v>
      </c>
      <c r="AI15" s="482">
        <f t="shared" ca="1" si="8"/>
        <v>6.9999999999999999E-4</v>
      </c>
      <c r="AJ15" s="482">
        <f t="shared" ca="1" si="9"/>
        <v>1.0014000000000001</v>
      </c>
      <c r="AK15" s="412"/>
    </row>
    <row r="16" spans="1:37" x14ac:dyDescent="0.2">
      <c r="A16" s="467" t="str">
        <f>IFERROR(RANK(B16,B$8:B$64,1),"")</f>
        <v/>
      </c>
      <c r="B16" s="468" t="str">
        <f t="shared" si="0"/>
        <v/>
      </c>
      <c r="C16" s="469" t="str">
        <f>IFERROR(RANK(D16,D$8:D$64,1),"")</f>
        <v/>
      </c>
      <c r="D16" s="470" t="str">
        <f t="shared" si="1"/>
        <v/>
      </c>
      <c r="E16" s="471">
        <f ca="1">RANK(L16,L$8:L$64,1)</f>
        <v>9</v>
      </c>
      <c r="F16" s="432" t="s">
        <v>227</v>
      </c>
      <c r="G16" s="472"/>
      <c r="H16" s="473"/>
      <c r="I16" s="474">
        <f ca="1">(IF(COUNT(P16,R16,X16,Y16)&lt;3,SUM(P16,R16,X16,Y16),SUM(LARGE((P16,R16,X16,Y16),{1;2;3}))))+(IF(COUNT(Q16,S16,U16,W16)&lt;3,SUM(Q16,S16,U16,W16),SUM(LARGE((Q16,S16,U16,W16),{1;2;3}))))+(IF(COUNT(T16,V16,Z16,AA16,AB16,AC16)&lt;4,SUM(T16,V16,Z16,AA16,AB16,AC16),SUM(LARGE((T16,V16,Z16,AA16,AB16,AC16),{1;2;3;4}))))</f>
        <v>234</v>
      </c>
      <c r="J16" s="475" t="str">
        <f ca="1">INDEX(ETAPP!B$1:B$32,MATCH(COUNTIF(P16:AC16,PIV!A$1),ETAPP!A$1:A$32,0))&amp;INDEX(ETAPP!B$1:B$32,MATCH(COUNTIF(P16:AC16,PIV!A$2),ETAPP!A$1:A$32,0))&amp;INDEX(ETAPP!B$1:B$32,MATCH(COUNTIF(P16:AC16,PIV!A$3),ETAPP!A$1:A$32,0))&amp;INDEX(ETAPP!B$1:B$32,MATCH(COUNTIF(P16:AC16,PIV!A$4),ETAPP!A$1:A$32,0))&amp;INDEX(ETAPP!B$1:B$32,MATCH(COUNTIF(P16:AC16,PIV!A$5),ETAPP!A$1:A$32,0))&amp;INDEX(ETAPP!B$1:B$32,MATCH(COUNTIF(P16:AC16,PIV!A$6),ETAPP!A$1:A$32,0))&amp;INDEX(ETAPP!B$1:B$32,MATCH(COUNTIF(P16:AC16,PIV!A$7),ETAPP!A$1:A$32,0))&amp;INDEX(ETAPP!B$1:B$32,MATCH(COUNTIF(P16:AC16,PIV!A$8),ETAPP!A$1:A$32,0))&amp;INDEX(ETAPP!B$1:B$32,MATCH(COUNTIF(P16:AC16,PIV!A$9),ETAPP!A$1:A$32,0))&amp;INDEX(ETAPP!B$1:B$32,MATCH(COUNTIF(P16:AC16,PIV!A$10),ETAPP!A$1:A$32,0))&amp;INDEX(ETAPP!B$1:B$32,MATCH(COUNTIF(P16:AC16,PIV!A$11),ETAPP!A$1:A$32,0))&amp;INDEX(ETAPP!B$1:B$32,MATCH(COUNTIF(P16:AC16,PIV!A$12),ETAPP!A$1:A$32,0))&amp;INDEX(ETAPP!B$1:B$32,MATCH(COUNTIF(P16:AC16,PIV!A$13),ETAPP!A$1:A$32,0))&amp;INDEX(ETAPP!B$1:B$32,MATCH(COUNTIF(P16:AC16,PIV!A$14),ETAPP!A$1:A$32,0))&amp;INDEX(ETAPP!B$1:B$32,MATCH(COUNTIF(P16:AC16,PIV!A$15),ETAPP!A$1:A$32,0))&amp;INDEX(ETAPP!B$1:B$32,MATCH(COUNTIF(P16:AC16,PIV!A$16),ETAPP!A$1:A$32,0))&amp;INDEX(ETAPP!B$1:B$32,MATCH(COUNTIF(P16:AC16,PIV!A$17),ETAPP!A$1:A$32,0))&amp;INDEX(ETAPP!B$1:B$32,MATCH(COUNTIF(P16:AC16,PIV!A$18),ETAPP!A$1:A$32,0))&amp;INDEX(ETAPP!B$1:B$32,MATCH(COUNTIF(P16:AC16,PIV!A$19),ETAPP!A$1:A$32,0))</f>
        <v>A0AAC0AAA0B00000A0B</v>
      </c>
      <c r="K16" s="475" t="str">
        <f t="shared" ca="1" si="2"/>
        <v>234,0-A0AAC0AAA0B00000A0B</v>
      </c>
      <c r="L16" s="476">
        <f ca="1">COUNTIF(K$8:K$64,"&gt;="&amp;K16)</f>
        <v>9</v>
      </c>
      <c r="M16" s="476">
        <f>COUNTIF(F$8:F$64,"&gt;="&amp;F16)</f>
        <v>54</v>
      </c>
      <c r="N16" s="475" t="str">
        <f t="shared" ca="1" si="3"/>
        <v>234,0-A0AAC0AAA0B00000A0B-054</v>
      </c>
      <c r="O16" s="477">
        <f ca="1">COUNTIF(N$8:N$64,"&lt;="&amp;N16)</f>
        <v>49</v>
      </c>
      <c r="P16" s="478" t="str">
        <f>IFERROR(INDEX('1'!C$300:C$400,MATCH("*"&amp;F16&amp;"*",'1'!B$300:B$400,0)),"  ")</f>
        <v xml:space="preserve">  </v>
      </c>
      <c r="Q16" s="479">
        <f>IFERROR(INDEX('2'!C$300:C$400,MATCH("*"&amp;F16&amp;"*",'2'!B$300:B$400,0)),"  ")</f>
        <v>20</v>
      </c>
      <c r="R16" s="479">
        <f>IFERROR(INDEX('3'!C$300:C$400,MATCH("*"&amp;F16&amp;"*",'3'!B$300:B$400,0)),"  ")</f>
        <v>18</v>
      </c>
      <c r="S16" s="479">
        <f>IFERROR(INDEX('4'!C$300:C$400,MATCH("*"&amp;F16&amp;"*",'4'!B$300:B$400,0)),"  ")</f>
        <v>26</v>
      </c>
      <c r="T16" s="479">
        <f>IFERROR(INDEX('5'!C$300:C$400,MATCH("*"&amp;F16&amp;"*",'5'!B$300:B$400,0)),"  ")</f>
        <v>1</v>
      </c>
      <c r="U16" s="479">
        <f>IFERROR(INDEX('6'!C$300:C$400,MATCH("*"&amp;F16&amp;"*",'6'!B$300:B$400,0)),"  ")</f>
        <v>12</v>
      </c>
      <c r="V16" s="479">
        <f ca="1">IFERROR(INDEX('7'!C$300:C$400,MATCH("*"&amp;F16&amp;"*",'7'!B$300:B$400,0)),"  ")</f>
        <v>12</v>
      </c>
      <c r="W16" s="479">
        <f>IFERROR(INDEX('8'!C$300:C$400,MATCH("*"&amp;F16&amp;"*",'8'!B$300:B$400,0)),"  ")</f>
        <v>24</v>
      </c>
      <c r="X16" s="479">
        <f>IFERROR(INDEX('9'!C$300:C$400,MATCH("*"&amp;F16&amp;"*",'9'!B$300:B$400,0)),"  ")</f>
        <v>16</v>
      </c>
      <c r="Y16" s="479">
        <f>IFERROR(INDEX('10'!C$300:C$400,MATCH("*"&amp;F16&amp;"*",'10'!B$300:B$400,0)),"  ")</f>
        <v>40</v>
      </c>
      <c r="Z16" s="478">
        <f>IFERROR(INDEX('11'!C$300:C$400,MATCH("*"&amp;F16&amp;"*",'11'!B$300:B$400,0)),"  ")</f>
        <v>24</v>
      </c>
      <c r="AA16" s="479" t="str">
        <f>IFERROR(INDEX('12'!C$300:C$400,MATCH("*"&amp;F16&amp;"*",'12'!B$300:B$400,0)),"  ")</f>
        <v xml:space="preserve">  </v>
      </c>
      <c r="AB16" s="479">
        <f>IFERROR(INDEX('13'!C$300:C$400,MATCH("*"&amp;F16&amp;"*",'13'!B$300:B$400,0)),"  ")</f>
        <v>30</v>
      </c>
      <c r="AC16" s="479">
        <f>IFERROR(INDEX('14'!C$300:C$400,MATCH("*"&amp;F16&amp;"*",'14'!B$300:B$400,0)),"  ")</f>
        <v>24</v>
      </c>
      <c r="AD16" s="481">
        <f t="shared" ca="1" si="4"/>
        <v>12</v>
      </c>
      <c r="AE16" s="481">
        <f t="shared" ca="1" si="5"/>
        <v>2</v>
      </c>
      <c r="AF16" s="481">
        <f t="shared" ca="1" si="6"/>
        <v>1</v>
      </c>
      <c r="AG16" s="482">
        <f t="shared" si="10"/>
        <v>1E-4</v>
      </c>
      <c r="AH16" s="482">
        <f t="shared" si="7"/>
        <v>12.0006</v>
      </c>
      <c r="AI16" s="482">
        <f t="shared" ca="1" si="8"/>
        <v>1.1999999999999999E-3</v>
      </c>
      <c r="AJ16" s="482">
        <f t="shared" ca="1" si="9"/>
        <v>1.0004999999999999</v>
      </c>
      <c r="AK16" s="412"/>
    </row>
    <row r="17" spans="1:37" x14ac:dyDescent="0.2">
      <c r="A17" s="467" t="str">
        <f>IFERROR(RANK(B17,B$8:B$64,1),"")</f>
        <v/>
      </c>
      <c r="B17" s="468" t="str">
        <f t="shared" si="0"/>
        <v/>
      </c>
      <c r="C17" s="469" t="str">
        <f>IFERROR(RANK(D17,D$8:D$64,1),"")</f>
        <v/>
      </c>
      <c r="D17" s="470" t="str">
        <f t="shared" si="1"/>
        <v/>
      </c>
      <c r="E17" s="471">
        <f ca="1">RANK(L17,L$8:L$64,1)</f>
        <v>10</v>
      </c>
      <c r="F17" s="432" t="s">
        <v>228</v>
      </c>
      <c r="G17" s="472"/>
      <c r="H17" s="473"/>
      <c r="I17" s="474">
        <f ca="1">(IF(COUNT(P17,R17,X17,Y17)&lt;3,SUM(P17,R17,X17,Y17),SUM(LARGE((P17,R17,X17,Y17),{1;2;3}))))+(IF(COUNT(Q17,S17,U17,W17)&lt;3,SUM(Q17,S17,U17,W17),SUM(LARGE((Q17,S17,U17,W17),{1;2;3}))))+(IF(COUNT(T17,V17,Z17,AA17,AB17,AC17)&lt;4,SUM(T17,V17,Z17,AA17,AB17,AC17),SUM(LARGE((T17,V17,Z17,AA17,AB17,AC17),{1;2;3;4}))))</f>
        <v>228</v>
      </c>
      <c r="J17" s="475" t="str">
        <f ca="1">INDEX(ETAPP!B$1:B$32,MATCH(COUNTIF(P17:AC17,PIV!A$1),ETAPP!A$1:A$32,0))&amp;INDEX(ETAPP!B$1:B$32,MATCH(COUNTIF(P17:AC17,PIV!A$2),ETAPP!A$1:A$32,0))&amp;INDEX(ETAPP!B$1:B$32,MATCH(COUNTIF(P17:AC17,PIV!A$3),ETAPP!A$1:A$32,0))&amp;INDEX(ETAPP!B$1:B$32,MATCH(COUNTIF(P17:AC17,PIV!A$4),ETAPP!A$1:A$32,0))&amp;INDEX(ETAPP!B$1:B$32,MATCH(COUNTIF(P17:AC17,PIV!A$5),ETAPP!A$1:A$32,0))&amp;INDEX(ETAPP!B$1:B$32,MATCH(COUNTIF(P17:AC17,PIV!A$6),ETAPP!A$1:A$32,0))&amp;INDEX(ETAPP!B$1:B$32,MATCH(COUNTIF(P17:AC17,PIV!A$7),ETAPP!A$1:A$32,0))&amp;INDEX(ETAPP!B$1:B$32,MATCH(COUNTIF(P17:AC17,PIV!A$8),ETAPP!A$1:A$32,0))&amp;INDEX(ETAPP!B$1:B$32,MATCH(COUNTIF(P17:AC17,PIV!A$9),ETAPP!A$1:A$32,0))&amp;INDEX(ETAPP!B$1:B$32,MATCH(COUNTIF(P17:AC17,PIV!A$10),ETAPP!A$1:A$32,0))&amp;INDEX(ETAPP!B$1:B$32,MATCH(COUNTIF(P17:AC17,PIV!A$11),ETAPP!A$1:A$32,0))&amp;INDEX(ETAPP!B$1:B$32,MATCH(COUNTIF(P17:AC17,PIV!A$12),ETAPP!A$1:A$32,0))&amp;INDEX(ETAPP!B$1:B$32,MATCH(COUNTIF(P17:AC17,PIV!A$13),ETAPP!A$1:A$32,0))&amp;INDEX(ETAPP!B$1:B$32,MATCH(COUNTIF(P17:AC17,PIV!A$14),ETAPP!A$1:A$32,0))&amp;INDEX(ETAPP!B$1:B$32,MATCH(COUNTIF(P17:AC17,PIV!A$15),ETAPP!A$1:A$32,0))&amp;INDEX(ETAPP!B$1:B$32,MATCH(COUNTIF(P17:AC17,PIV!A$16),ETAPP!A$1:A$32,0))&amp;INDEX(ETAPP!B$1:B$32,MATCH(COUNTIF(P17:AC17,PIV!A$17),ETAPP!A$1:A$32,0))&amp;INDEX(ETAPP!B$1:B$32,MATCH(COUNTIF(P17:AC17,PIV!A$18),ETAPP!A$1:A$32,0))&amp;INDEX(ETAPP!B$1:B$32,MATCH(COUNTIF(P17:AC17,PIV!A$19),ETAPP!A$1:A$32,0))</f>
        <v>BAAAAA0B0A0A000000C</v>
      </c>
      <c r="K17" s="475" t="str">
        <f t="shared" ca="1" si="2"/>
        <v>228,0-BAAAAA0B0A0A000000C</v>
      </c>
      <c r="L17" s="476">
        <f ca="1">COUNTIF(K$8:K$64,"&gt;="&amp;K17)</f>
        <v>10</v>
      </c>
      <c r="M17" s="476">
        <f>COUNTIF(F$8:F$64,"&gt;="&amp;F17)</f>
        <v>31</v>
      </c>
      <c r="N17" s="475" t="str">
        <f t="shared" ca="1" si="3"/>
        <v>228,0-BAAAAA0B0A0A000000C-031</v>
      </c>
      <c r="O17" s="477">
        <f ca="1">COUNTIF(N$8:N$64,"&lt;="&amp;N17)</f>
        <v>48</v>
      </c>
      <c r="P17" s="478">
        <f>IFERROR(INDEX('1'!C$300:C$400,MATCH("*"&amp;F17&amp;"*",'1'!B$300:B$400,0)),"  ")</f>
        <v>34</v>
      </c>
      <c r="Q17" s="479">
        <f>IFERROR(INDEX('2'!C$300:C$400,MATCH("*"&amp;F17&amp;"*",'2'!B$300:B$400,0)),"  ")</f>
        <v>18</v>
      </c>
      <c r="R17" s="479">
        <f>IFERROR(INDEX('3'!C$300:C$400,MATCH("*"&amp;F17&amp;"*",'3'!B$300:B$400,0)),"  ")</f>
        <v>40</v>
      </c>
      <c r="S17" s="479">
        <f>IFERROR(INDEX('4'!C$300:C$400,MATCH("*"&amp;F17&amp;"*",'4'!B$300:B$400,0)),"  ")</f>
        <v>24</v>
      </c>
      <c r="T17" s="479" t="str">
        <f>IFERROR(INDEX('5'!C$300:C$400,MATCH("*"&amp;F17&amp;"*",'5'!B$300:B$400,0)),"  ")</f>
        <v xml:space="preserve">  </v>
      </c>
      <c r="U17" s="479">
        <f>IFERROR(INDEX('6'!C$300:C$400,MATCH("*"&amp;F17&amp;"*",'6'!B$300:B$400,0)),"  ")</f>
        <v>18</v>
      </c>
      <c r="V17" s="479">
        <f ca="1">IFERROR(INDEX('7'!C$300:C$400,MATCH("*"&amp;F17&amp;"*",'7'!B$300:B$400,0)),"  ")</f>
        <v>22</v>
      </c>
      <c r="W17" s="479">
        <f>IFERROR(INDEX('8'!C$300:C$400,MATCH("*"&amp;F17&amp;"*",'8'!B$300:B$400,0)),"  ")</f>
        <v>26</v>
      </c>
      <c r="X17" s="479">
        <f>IFERROR(INDEX('9'!C$300:C$400,MATCH("*"&amp;F17&amp;"*",'9'!B$300:B$400,0)),"  ")</f>
        <v>40</v>
      </c>
      <c r="Y17" s="479">
        <f>IFERROR(INDEX('10'!C$300:C$400,MATCH("*"&amp;F17&amp;"*",'10'!B$300:B$400,0)),"  ")</f>
        <v>30</v>
      </c>
      <c r="Z17" s="478">
        <f>IFERROR(INDEX('11'!C$300:C$400,MATCH("*"&amp;F17&amp;"*",'11'!B$300:B$400,0)),"  ")</f>
        <v>10</v>
      </c>
      <c r="AA17" s="479" t="str">
        <f>IFERROR(INDEX('12'!C$300:C$400,MATCH("*"&amp;F17&amp;"*",'12'!B$300:B$400,0)),"  ")</f>
        <v xml:space="preserve">  </v>
      </c>
      <c r="AB17" s="479" t="str">
        <f>IFERROR(INDEX('13'!C$300:C$400,MATCH("*"&amp;F17&amp;"*",'13'!B$300:B$400,0)),"  ")</f>
        <v xml:space="preserve">  </v>
      </c>
      <c r="AC17" s="479">
        <f>IFERROR(INDEX('14'!C$300:C$400,MATCH("*"&amp;F17&amp;"*",'14'!B$300:B$400,0)),"  ")</f>
        <v>14</v>
      </c>
      <c r="AD17" s="481">
        <f t="shared" ca="1" si="4"/>
        <v>11</v>
      </c>
      <c r="AE17" s="481">
        <f t="shared" ca="1" si="5"/>
        <v>4</v>
      </c>
      <c r="AF17" s="481">
        <f t="shared" ca="1" si="6"/>
        <v>2</v>
      </c>
      <c r="AG17" s="482">
        <f t="shared" si="10"/>
        <v>30.001000000000001</v>
      </c>
      <c r="AH17" s="482">
        <f t="shared" si="7"/>
        <v>18.0002</v>
      </c>
      <c r="AI17" s="482">
        <f t="shared" ca="1" si="8"/>
        <v>5.0000000000000001E-4</v>
      </c>
      <c r="AJ17" s="482">
        <f t="shared" ca="1" si="9"/>
        <v>1.1999999999999999E-3</v>
      </c>
      <c r="AK17" s="412"/>
    </row>
    <row r="18" spans="1:37" x14ac:dyDescent="0.2">
      <c r="A18" s="467" t="str">
        <f>IFERROR(RANK(B18,B$8:B$64,1),"")</f>
        <v/>
      </c>
      <c r="B18" s="468" t="str">
        <f t="shared" si="0"/>
        <v/>
      </c>
      <c r="C18" s="469" t="str">
        <f>IFERROR(RANK(D18,D$8:D$64,1),"")</f>
        <v/>
      </c>
      <c r="D18" s="470" t="str">
        <f t="shared" si="1"/>
        <v/>
      </c>
      <c r="E18" s="471">
        <f ca="1">RANK(L18,L$8:L$64,1)</f>
        <v>11</v>
      </c>
      <c r="F18" s="485" t="s">
        <v>229</v>
      </c>
      <c r="G18" s="472"/>
      <c r="H18" s="473"/>
      <c r="I18" s="474">
        <f ca="1">(IF(COUNT(P18,R18,X18,Y18)&lt;3,SUM(P18,R18,X18,Y18),SUM(LARGE((P18,R18,X18,Y18),{1;2;3}))))+(IF(COUNT(Q18,S18,U18,W18)&lt;3,SUM(Q18,S18,U18,W18),SUM(LARGE((Q18,S18,U18,W18),{1;2;3}))))+(IF(COUNT(T18,V18,Z18,AA18,AB18,AC18)&lt;4,SUM(T18,V18,Z18,AA18,AB18,AC18),SUM(LARGE((T18,V18,Z18,AA18,AB18,AC18),{1;2;3;4}))))</f>
        <v>224</v>
      </c>
      <c r="J18" s="475" t="str">
        <f ca="1">INDEX(ETAPP!B$1:B$32,MATCH(COUNTIF(P18:AC18,PIV!A$1),ETAPP!A$1:A$32,0))&amp;INDEX(ETAPP!B$1:B$32,MATCH(COUNTIF(P18:AC18,PIV!A$2),ETAPP!A$1:A$32,0))&amp;INDEX(ETAPP!B$1:B$32,MATCH(COUNTIF(P18:AC18,PIV!A$3),ETAPP!A$1:A$32,0))&amp;INDEX(ETAPP!B$1:B$32,MATCH(COUNTIF(P18:AC18,PIV!A$4),ETAPP!A$1:A$32,0))&amp;INDEX(ETAPP!B$1:B$32,MATCH(COUNTIF(P18:AC18,PIV!A$5),ETAPP!A$1:A$32,0))&amp;INDEX(ETAPP!B$1:B$32,MATCH(COUNTIF(P18:AC18,PIV!A$6),ETAPP!A$1:A$32,0))&amp;INDEX(ETAPP!B$1:B$32,MATCH(COUNTIF(P18:AC18,PIV!A$7),ETAPP!A$1:A$32,0))&amp;INDEX(ETAPP!B$1:B$32,MATCH(COUNTIF(P18:AC18,PIV!A$8),ETAPP!A$1:A$32,0))&amp;INDEX(ETAPP!B$1:B$32,MATCH(COUNTIF(P18:AC18,PIV!A$9),ETAPP!A$1:A$32,0))&amp;INDEX(ETAPP!B$1:B$32,MATCH(COUNTIF(P18:AC18,PIV!A$10),ETAPP!A$1:A$32,0))&amp;INDEX(ETAPP!B$1:B$32,MATCH(COUNTIF(P18:AC18,PIV!A$11),ETAPP!A$1:A$32,0))&amp;INDEX(ETAPP!B$1:B$32,MATCH(COUNTIF(P18:AC18,PIV!A$12),ETAPP!A$1:A$32,0))&amp;INDEX(ETAPP!B$1:B$32,MATCH(COUNTIF(P18:AC18,PIV!A$13),ETAPP!A$1:A$32,0))&amp;INDEX(ETAPP!B$1:B$32,MATCH(COUNTIF(P18:AC18,PIV!A$14),ETAPP!A$1:A$32,0))&amp;INDEX(ETAPP!B$1:B$32,MATCH(COUNTIF(P18:AC18,PIV!A$15),ETAPP!A$1:A$32,0))&amp;INDEX(ETAPP!B$1:B$32,MATCH(COUNTIF(P18:AC18,PIV!A$16),ETAPP!A$1:A$32,0))&amp;INDEX(ETAPP!B$1:B$32,MATCH(COUNTIF(P18:AC18,PIV!A$17),ETAPP!A$1:A$32,0))&amp;INDEX(ETAPP!B$1:B$32,MATCH(COUNTIF(P18:AC18,PIV!A$18),ETAPP!A$1:A$32,0))&amp;INDEX(ETAPP!B$1:B$32,MATCH(COUNTIF(P18:AC18,PIV!A$19),ETAPP!A$1:A$32,0))</f>
        <v>0BB0AA00AB000A0000D</v>
      </c>
      <c r="K18" s="475" t="str">
        <f t="shared" ca="1" si="2"/>
        <v>224,0-0BB0AA00AB000A0000D</v>
      </c>
      <c r="L18" s="476">
        <f ca="1">COUNTIF(K$8:K$64,"&gt;="&amp;K18)</f>
        <v>11</v>
      </c>
      <c r="M18" s="476">
        <f>COUNTIF(F$8:F$64,"&gt;="&amp;F18)</f>
        <v>42</v>
      </c>
      <c r="N18" s="475" t="str">
        <f t="shared" ca="1" si="3"/>
        <v>224,0-0BB0AA00AB000A0000D-042</v>
      </c>
      <c r="O18" s="477">
        <f ca="1">COUNTIF(N$8:N$64,"&lt;="&amp;N18)</f>
        <v>47</v>
      </c>
      <c r="P18" s="478">
        <f>IFERROR(INDEX('1'!C$300:C$400,MATCH("*"&amp;F18&amp;"*",'1'!B$300:B$400,0)),"  ")</f>
        <v>30</v>
      </c>
      <c r="Q18" s="479">
        <f>IFERROR(INDEX('2'!C$300:C$400,MATCH("*"&amp;F18&amp;"*",'2'!B$300:B$400,0)),"  ")</f>
        <v>30</v>
      </c>
      <c r="R18" s="479">
        <f>IFERROR(INDEX('3'!C$300:C$400,MATCH("*"&amp;F18&amp;"*",'3'!B$300:B$400,0)),"  ")</f>
        <v>24</v>
      </c>
      <c r="S18" s="479">
        <f>IFERROR(INDEX('4'!C$300:C$400,MATCH("*"&amp;F18&amp;"*",'4'!B$300:B$400,0)),"  ")</f>
        <v>16</v>
      </c>
      <c r="T18" s="479">
        <f>IFERROR(INDEX('5'!C$300:C$400,MATCH("*"&amp;F18&amp;"*",'5'!B$300:B$400,0)),"  ")</f>
        <v>22</v>
      </c>
      <c r="U18" s="479">
        <f>IFERROR(INDEX('6'!C$300:C$400,MATCH("*"&amp;F18&amp;"*",'6'!B$300:B$400,0)),"  ")</f>
        <v>14</v>
      </c>
      <c r="V18" s="479">
        <f ca="1">IFERROR(INDEX('7'!C$300:C$400,MATCH("*"&amp;F18&amp;"*",'7'!B$300:B$400,0)),"  ")</f>
        <v>6</v>
      </c>
      <c r="W18" s="479" t="str">
        <f>IFERROR(INDEX('8'!C$300:C$400,MATCH("*"&amp;F18&amp;"*",'8'!B$300:B$400,0)),"  ")</f>
        <v xml:space="preserve">  </v>
      </c>
      <c r="X18" s="479">
        <f>IFERROR(INDEX('9'!C$300:C$400,MATCH("*"&amp;F18&amp;"*",'9'!B$300:B$400,0)),"  ")</f>
        <v>34</v>
      </c>
      <c r="Y18" s="479" t="str">
        <f>IFERROR(INDEX('10'!C$300:C$400,MATCH("*"&amp;F18&amp;"*",'10'!B$300:B$400,0)),"  ")</f>
        <v xml:space="preserve">  </v>
      </c>
      <c r="Z18" s="478" t="str">
        <f>IFERROR(INDEX('11'!C$300:C$400,MATCH("*"&amp;F18&amp;"*",'11'!B$300:B$400,0)),"  ")</f>
        <v xml:space="preserve">  </v>
      </c>
      <c r="AA18" s="479">
        <f>IFERROR(INDEX('12'!C$300:C$400,MATCH("*"&amp;F18&amp;"*",'12'!B$300:B$400,0)),"  ")</f>
        <v>14</v>
      </c>
      <c r="AB18" s="479" t="str">
        <f>IFERROR(INDEX('13'!C$300:C$400,MATCH("*"&amp;F18&amp;"*",'13'!B$300:B$400,0)),"  ")</f>
        <v xml:space="preserve">  </v>
      </c>
      <c r="AC18" s="479">
        <f>IFERROR(INDEX('14'!C$300:C$400,MATCH("*"&amp;F18&amp;"*",'14'!B$300:B$400,0)),"  ")</f>
        <v>34</v>
      </c>
      <c r="AD18" s="481">
        <f t="shared" ca="1" si="4"/>
        <v>10</v>
      </c>
      <c r="AE18" s="481">
        <f t="shared" ca="1" si="5"/>
        <v>4</v>
      </c>
      <c r="AF18" s="481">
        <f t="shared" ca="1" si="6"/>
        <v>0</v>
      </c>
      <c r="AG18" s="482">
        <f t="shared" si="10"/>
        <v>1E-3</v>
      </c>
      <c r="AH18" s="482">
        <f t="shared" si="7"/>
        <v>8.0000000000000004E-4</v>
      </c>
      <c r="AI18" s="482">
        <f t="shared" ca="1" si="8"/>
        <v>1.1000000000000001E-3</v>
      </c>
      <c r="AJ18" s="482">
        <f t="shared" ca="1" si="9"/>
        <v>1.2999999999999999E-3</v>
      </c>
      <c r="AK18" s="412"/>
    </row>
    <row r="19" spans="1:37" x14ac:dyDescent="0.2">
      <c r="A19" s="467" t="str">
        <f>IFERROR(RANK(B19,B$8:B$64,1),"")</f>
        <v/>
      </c>
      <c r="B19" s="468" t="str">
        <f t="shared" si="0"/>
        <v/>
      </c>
      <c r="C19" s="469" t="str">
        <f>IFERROR(RANK(D19,D$8:D$64,1),"")</f>
        <v/>
      </c>
      <c r="D19" s="470" t="str">
        <f t="shared" si="1"/>
        <v/>
      </c>
      <c r="E19" s="471">
        <f ca="1">RANK(L19,L$8:L$64,1)</f>
        <v>12</v>
      </c>
      <c r="F19" s="487" t="s">
        <v>230</v>
      </c>
      <c r="G19" s="472"/>
      <c r="H19" s="473"/>
      <c r="I19" s="474">
        <f ca="1">(IF(COUNT(P19,R19,X19,Y19)&lt;3,SUM(P19,R19,X19,Y19),SUM(LARGE((P19,R19,X19,Y19),{1;2;3}))))+(IF(COUNT(Q19,S19,U19,W19)&lt;3,SUM(Q19,S19,U19,W19),SUM(LARGE((Q19,S19,U19,W19),{1;2;3}))))+(IF(COUNT(T19,V19,Z19,AA19,AB19,AC19)&lt;4,SUM(T19,V19,Z19,AA19,AB19,AC19),SUM(LARGE((T19,V19,Z19,AA19,AB19,AC19),{1;2;3;4}))))</f>
        <v>196</v>
      </c>
      <c r="J19" s="475" t="str">
        <f ca="1">INDEX(ETAPP!B$1:B$32,MATCH(COUNTIF(P19:AC19,PIV!A$1),ETAPP!A$1:A$32,0))&amp;INDEX(ETAPP!B$1:B$32,MATCH(COUNTIF(P19:AC19,PIV!A$2),ETAPP!A$1:A$32,0))&amp;INDEX(ETAPP!B$1:B$32,MATCH(COUNTIF(P19:AC19,PIV!A$3),ETAPP!A$1:A$32,0))&amp;INDEX(ETAPP!B$1:B$32,MATCH(COUNTIF(P19:AC19,PIV!A$4),ETAPP!A$1:A$32,0))&amp;INDEX(ETAPP!B$1:B$32,MATCH(COUNTIF(P19:AC19,PIV!A$5),ETAPP!A$1:A$32,0))&amp;INDEX(ETAPP!B$1:B$32,MATCH(COUNTIF(P19:AC19,PIV!A$6),ETAPP!A$1:A$32,0))&amp;INDEX(ETAPP!B$1:B$32,MATCH(COUNTIF(P19:AC19,PIV!A$7),ETAPP!A$1:A$32,0))&amp;INDEX(ETAPP!B$1:B$32,MATCH(COUNTIF(P19:AC19,PIV!A$8),ETAPP!A$1:A$32,0))&amp;INDEX(ETAPP!B$1:B$32,MATCH(COUNTIF(P19:AC19,PIV!A$9),ETAPP!A$1:A$32,0))&amp;INDEX(ETAPP!B$1:B$32,MATCH(COUNTIF(P19:AC19,PIV!A$10),ETAPP!A$1:A$32,0))&amp;INDEX(ETAPP!B$1:B$32,MATCH(COUNTIF(P19:AC19,PIV!A$11),ETAPP!A$1:A$32,0))&amp;INDEX(ETAPP!B$1:B$32,MATCH(COUNTIF(P19:AC19,PIV!A$12),ETAPP!A$1:A$32,0))&amp;INDEX(ETAPP!B$1:B$32,MATCH(COUNTIF(P19:AC19,PIV!A$13),ETAPP!A$1:A$32,0))&amp;INDEX(ETAPP!B$1:B$32,MATCH(COUNTIF(P19:AC19,PIV!A$14),ETAPP!A$1:A$32,0))&amp;INDEX(ETAPP!B$1:B$32,MATCH(COUNTIF(P19:AC19,PIV!A$15),ETAPP!A$1:A$32,0))&amp;INDEX(ETAPP!B$1:B$32,MATCH(COUNTIF(P19:AC19,PIV!A$16),ETAPP!A$1:A$32,0))&amp;INDEX(ETAPP!B$1:B$32,MATCH(COUNTIF(P19:AC19,PIV!A$17),ETAPP!A$1:A$32,0))&amp;INDEX(ETAPP!B$1:B$32,MATCH(COUNTIF(P19:AC19,PIV!A$18),ETAPP!A$1:A$32,0))&amp;INDEX(ETAPP!B$1:B$32,MATCH(COUNTIF(P19:AC19,PIV!A$19),ETAPP!A$1:A$32,0))</f>
        <v>AAC00000AA000000B0E</v>
      </c>
      <c r="K19" s="475" t="str">
        <f t="shared" ca="1" si="2"/>
        <v>196,0-AAC00000AA000000B0E</v>
      </c>
      <c r="L19" s="476">
        <f ca="1">COUNTIF(K$8:K$64,"&gt;="&amp;K19)</f>
        <v>12</v>
      </c>
      <c r="M19" s="476">
        <f>COUNTIF(F$8:F$64,"&gt;="&amp;F19)</f>
        <v>57</v>
      </c>
      <c r="N19" s="475" t="str">
        <f t="shared" ca="1" si="3"/>
        <v>196,0-AAC00000AA000000B0E-057</v>
      </c>
      <c r="O19" s="477">
        <f ca="1">COUNTIF(N$8:N$64,"&lt;="&amp;N19)</f>
        <v>46</v>
      </c>
      <c r="P19" s="478">
        <f>IFERROR(INDEX('1'!C$300:C$400,MATCH("*"&amp;F19&amp;"*",'1'!B$300:B$400,0)),"  ")</f>
        <v>30</v>
      </c>
      <c r="Q19" s="479">
        <f>IFERROR(INDEX('2'!C$300:C$400,MATCH("*"&amp;F19&amp;"*",'2'!B$300:B$400,0)),"  ")</f>
        <v>30</v>
      </c>
      <c r="R19" s="479" t="str">
        <f>IFERROR(INDEX('3'!C$300:C$400,MATCH("*"&amp;F19&amp;"*",'3'!B$300:B$400,0)),"  ")</f>
        <v xml:space="preserve">  </v>
      </c>
      <c r="S19" s="479">
        <f>IFERROR(INDEX('4'!C$300:C$400,MATCH("*"&amp;F19&amp;"*",'4'!B$300:B$400,0)),"  ")</f>
        <v>16</v>
      </c>
      <c r="T19" s="479">
        <f>IFERROR(INDEX('5'!C$300:C$400,MATCH("*"&amp;F19&amp;"*",'5'!B$300:B$400,0)),"  ")</f>
        <v>30</v>
      </c>
      <c r="U19" s="479">
        <f>IFERROR(INDEX('6'!C$300:C$400,MATCH("*"&amp;F19&amp;"*",'6'!B$300:B$400,0)),"  ")</f>
        <v>14</v>
      </c>
      <c r="V19" s="479" t="str">
        <f ca="1">IFERROR(INDEX('7'!C$300:C$400,MATCH("*"&amp;F19&amp;"*",'7'!B$300:B$400,0)),"  ")</f>
        <v xml:space="preserve">  </v>
      </c>
      <c r="W19" s="479" t="str">
        <f>IFERROR(INDEX('8'!C$300:C$400,MATCH("*"&amp;F19&amp;"*",'8'!B$300:B$400,0)),"  ")</f>
        <v xml:space="preserve">  </v>
      </c>
      <c r="X19" s="479">
        <f>IFERROR(INDEX('9'!C$300:C$400,MATCH("*"&amp;F19&amp;"*",'9'!B$300:B$400,0)),"  ")</f>
        <v>34</v>
      </c>
      <c r="Y19" s="479" t="str">
        <f>IFERROR(INDEX('10'!C$300:C$400,MATCH("*"&amp;F19&amp;"*",'10'!B$300:B$400,0)),"  ")</f>
        <v xml:space="preserve">  </v>
      </c>
      <c r="Z19" s="478">
        <f>IFERROR(INDEX('11'!C$300:C$400,MATCH("*"&amp;F19&amp;"*",'11'!B$300:B$400,0)),"  ")</f>
        <v>1</v>
      </c>
      <c r="AA19" s="479" t="str">
        <f>IFERROR(INDEX('12'!C$300:C$400,MATCH("*"&amp;F19&amp;"*",'12'!B$300:B$400,0)),"  ")</f>
        <v xml:space="preserve">  </v>
      </c>
      <c r="AB19" s="479">
        <f>IFERROR(INDEX('13'!C$300:C$400,MATCH("*"&amp;F19&amp;"*",'13'!B$300:B$400,0)),"  ")</f>
        <v>40</v>
      </c>
      <c r="AC19" s="479">
        <f>IFERROR(INDEX('14'!C$300:C$400,MATCH("*"&amp;F19&amp;"*",'14'!B$300:B$400,0)),"  ")</f>
        <v>1</v>
      </c>
      <c r="AD19" s="481">
        <f t="shared" ca="1" si="4"/>
        <v>9</v>
      </c>
      <c r="AE19" s="481">
        <f t="shared" ca="1" si="5"/>
        <v>5</v>
      </c>
      <c r="AF19" s="481">
        <f t="shared" ca="1" si="6"/>
        <v>1</v>
      </c>
      <c r="AG19" s="482">
        <f t="shared" si="10"/>
        <v>2.9999999999999997E-4</v>
      </c>
      <c r="AH19" s="482">
        <f t="shared" si="7"/>
        <v>8.0000000000000004E-4</v>
      </c>
      <c r="AI19" s="482">
        <f t="shared" ca="1" si="8"/>
        <v>6.9999999999999999E-4</v>
      </c>
      <c r="AJ19" s="482">
        <f t="shared" ca="1" si="9"/>
        <v>1.1999999999999999E-3</v>
      </c>
      <c r="AK19" s="412"/>
    </row>
    <row r="20" spans="1:37" x14ac:dyDescent="0.2">
      <c r="A20" s="467" t="str">
        <f>IFERROR(RANK(B20,B$8:B$64,1),"")</f>
        <v/>
      </c>
      <c r="B20" s="468" t="str">
        <f t="shared" si="0"/>
        <v/>
      </c>
      <c r="C20" s="469" t="str">
        <f>IFERROR(RANK(D20,D$8:D$64,1),"")</f>
        <v/>
      </c>
      <c r="D20" s="470" t="str">
        <f t="shared" si="1"/>
        <v/>
      </c>
      <c r="E20" s="471">
        <f ca="1">RANK(L20,L$8:L$64,1)</f>
        <v>13</v>
      </c>
      <c r="F20" s="487" t="s">
        <v>231</v>
      </c>
      <c r="G20" s="472"/>
      <c r="H20" s="473"/>
      <c r="I20" s="474">
        <f ca="1">(IF(COUNT(P20,R20,X20,Y20)&lt;3,SUM(P20,R20,X20,Y20),SUM(LARGE((P20,R20,X20,Y20),{1;2;3}))))+(IF(COUNT(Q20,S20,U20,W20)&lt;3,SUM(Q20,S20,U20,W20),SUM(LARGE((Q20,S20,U20,W20),{1;2;3}))))+(IF(COUNT(T20,V20,Z20,AA20,AB20,AC20)&lt;4,SUM(T20,V20,Z20,AA20,AB20,AC20),SUM(LARGE((T20,V20,Z20,AA20,AB20,AC20),{1;2;3;4}))))</f>
        <v>190</v>
      </c>
      <c r="J20" s="475" t="str">
        <f ca="1">INDEX(ETAPP!B$1:B$32,MATCH(COUNTIF(P20:AC20,PIV!A$1),ETAPP!A$1:A$32,0))&amp;INDEX(ETAPP!B$1:B$32,MATCH(COUNTIF(P20:AC20,PIV!A$2),ETAPP!A$1:A$32,0))&amp;INDEX(ETAPP!B$1:B$32,MATCH(COUNTIF(P20:AC20,PIV!A$3),ETAPP!A$1:A$32,0))&amp;INDEX(ETAPP!B$1:B$32,MATCH(COUNTIF(P20:AC20,PIV!A$4),ETAPP!A$1:A$32,0))&amp;INDEX(ETAPP!B$1:B$32,MATCH(COUNTIF(P20:AC20,PIV!A$5),ETAPP!A$1:A$32,0))&amp;INDEX(ETAPP!B$1:B$32,MATCH(COUNTIF(P20:AC20,PIV!A$6),ETAPP!A$1:A$32,0))&amp;INDEX(ETAPP!B$1:B$32,MATCH(COUNTIF(P20:AC20,PIV!A$7),ETAPP!A$1:A$32,0))&amp;INDEX(ETAPP!B$1:B$32,MATCH(COUNTIF(P20:AC20,PIV!A$8),ETAPP!A$1:A$32,0))&amp;INDEX(ETAPP!B$1:B$32,MATCH(COUNTIF(P20:AC20,PIV!A$9),ETAPP!A$1:A$32,0))&amp;INDEX(ETAPP!B$1:B$32,MATCH(COUNTIF(P20:AC20,PIV!A$10),ETAPP!A$1:A$32,0))&amp;INDEX(ETAPP!B$1:B$32,MATCH(COUNTIF(P20:AC20,PIV!A$11),ETAPP!A$1:A$32,0))&amp;INDEX(ETAPP!B$1:B$32,MATCH(COUNTIF(P20:AC20,PIV!A$12),ETAPP!A$1:A$32,0))&amp;INDEX(ETAPP!B$1:B$32,MATCH(COUNTIF(P20:AC20,PIV!A$13),ETAPP!A$1:A$32,0))&amp;INDEX(ETAPP!B$1:B$32,MATCH(COUNTIF(P20:AC20,PIV!A$14),ETAPP!A$1:A$32,0))&amp;INDEX(ETAPP!B$1:B$32,MATCH(COUNTIF(P20:AC20,PIV!A$15),ETAPP!A$1:A$32,0))&amp;INDEX(ETAPP!B$1:B$32,MATCH(COUNTIF(P20:AC20,PIV!A$16),ETAPP!A$1:A$32,0))&amp;INDEX(ETAPP!B$1:B$32,MATCH(COUNTIF(P20:AC20,PIV!A$17),ETAPP!A$1:A$32,0))&amp;INDEX(ETAPP!B$1:B$32,MATCH(COUNTIF(P20:AC20,PIV!A$18),ETAPP!A$1:A$32,0))&amp;INDEX(ETAPP!B$1:B$32,MATCH(COUNTIF(P20:AC20,PIV!A$19),ETAPP!A$1:A$32,0))</f>
        <v>00BA0BAB00AA0000A0C</v>
      </c>
      <c r="K20" s="475" t="str">
        <f t="shared" ca="1" si="2"/>
        <v>190,0-00BA0BAB00AA0000A0C</v>
      </c>
      <c r="L20" s="476">
        <f ca="1">COUNTIF(K$8:K$64,"&gt;="&amp;K20)</f>
        <v>13</v>
      </c>
      <c r="M20" s="476">
        <f>COUNTIF(F$8:F$64,"&gt;="&amp;F20)</f>
        <v>52</v>
      </c>
      <c r="N20" s="475" t="str">
        <f t="shared" ca="1" si="3"/>
        <v>190,0-00BA0BAB00AA0000A0C-052</v>
      </c>
      <c r="O20" s="477">
        <f ca="1">COUNTIF(N$8:N$64,"&lt;="&amp;N20)</f>
        <v>45</v>
      </c>
      <c r="P20" s="478">
        <f>IFERROR(INDEX('1'!C$300:C$400,MATCH("*"&amp;F20&amp;"*",'1'!B$300:B$400,0)),"  ")</f>
        <v>26</v>
      </c>
      <c r="Q20" s="479" t="str">
        <f>IFERROR(INDEX('2'!C$300:C$400,MATCH("*"&amp;F20&amp;"*",'2'!B$300:B$400,0)),"  ")</f>
        <v xml:space="preserve">  </v>
      </c>
      <c r="R20" s="479">
        <f>IFERROR(INDEX('3'!C$300:C$400,MATCH("*"&amp;F20&amp;"*",'3'!B$300:B$400,0)),"  ")</f>
        <v>30</v>
      </c>
      <c r="S20" s="479">
        <f>IFERROR(INDEX('4'!C$300:C$400,MATCH("*"&amp;F20&amp;"*",'4'!B$300:B$400,0)),"  ")</f>
        <v>18</v>
      </c>
      <c r="T20" s="479">
        <f>IFERROR(INDEX('5'!C$300:C$400,MATCH("*"&amp;F20&amp;"*",'5'!B$300:B$400,0)),"  ")</f>
        <v>10</v>
      </c>
      <c r="U20" s="479">
        <f>IFERROR(INDEX('6'!C$300:C$400,MATCH("*"&amp;F20&amp;"*",'6'!B$300:B$400,0)),"  ")</f>
        <v>22</v>
      </c>
      <c r="V20" s="479">
        <f ca="1">IFERROR(INDEX('7'!C$300:C$400,MATCH("*"&amp;F20&amp;"*",'7'!B$300:B$400,0)),"  ")</f>
        <v>30</v>
      </c>
      <c r="W20" s="479" t="str">
        <f>IFERROR(INDEX('8'!C$300:C$400,MATCH("*"&amp;F20&amp;"*",'8'!B$300:B$400,0)),"  ")</f>
        <v xml:space="preserve">  </v>
      </c>
      <c r="X20" s="479">
        <f>IFERROR(INDEX('9'!C$300:C$400,MATCH("*"&amp;F20&amp;"*",'9'!B$300:B$400,0)),"  ")</f>
        <v>18</v>
      </c>
      <c r="Y20" s="479">
        <f>IFERROR(INDEX('10'!C$300:C$400,MATCH("*"&amp;F20&amp;"*",'10'!B$300:B$400,0)),"  ")</f>
        <v>22</v>
      </c>
      <c r="Z20" s="478">
        <f>IFERROR(INDEX('11'!C$300:C$400,MATCH("*"&amp;F20&amp;"*",'11'!B$300:B$400,0)),"  ")</f>
        <v>1</v>
      </c>
      <c r="AA20" s="479">
        <f>IFERROR(INDEX('12'!C$300:C$400,MATCH("*"&amp;F20&amp;"*",'12'!B$300:B$400,0)),"  ")</f>
        <v>20</v>
      </c>
      <c r="AB20" s="479">
        <f>IFERROR(INDEX('13'!C$300:C$400,MATCH("*"&amp;F20&amp;"*",'13'!B$300:B$400,0)),"  ")</f>
        <v>12</v>
      </c>
      <c r="AC20" s="479" t="str">
        <f>IFERROR(INDEX('14'!C$300:C$400,MATCH("*"&amp;F20&amp;"*",'14'!B$300:B$400,0)),"  ")</f>
        <v xml:space="preserve">  </v>
      </c>
      <c r="AD20" s="481">
        <f t="shared" ca="1" si="4"/>
        <v>11</v>
      </c>
      <c r="AE20" s="481">
        <f t="shared" ca="1" si="5"/>
        <v>2</v>
      </c>
      <c r="AF20" s="481">
        <f t="shared" ca="1" si="6"/>
        <v>0</v>
      </c>
      <c r="AG20" s="482">
        <f t="shared" si="10"/>
        <v>18.000900000000001</v>
      </c>
      <c r="AH20" s="482">
        <f t="shared" si="7"/>
        <v>2.0000000000000001E-4</v>
      </c>
      <c r="AI20" s="482">
        <f t="shared" ca="1" si="8"/>
        <v>1.4E-3</v>
      </c>
      <c r="AJ20" s="482">
        <f t="shared" ca="1" si="9"/>
        <v>1.0011000000000001</v>
      </c>
      <c r="AK20" s="412"/>
    </row>
    <row r="21" spans="1:37" x14ac:dyDescent="0.2">
      <c r="A21" s="467" t="str">
        <f>IFERROR(RANK(B21,B$8:B$64,1),"")</f>
        <v/>
      </c>
      <c r="B21" s="468" t="str">
        <f t="shared" si="0"/>
        <v/>
      </c>
      <c r="C21" s="469" t="str">
        <f>IFERROR(RANK(D21,D$8:D$64,1),"")</f>
        <v/>
      </c>
      <c r="D21" s="470" t="str">
        <f t="shared" si="1"/>
        <v/>
      </c>
      <c r="E21" s="471">
        <f ca="1">RANK(L21,L$8:L$64,1)</f>
        <v>14</v>
      </c>
      <c r="F21" s="432" t="s">
        <v>232</v>
      </c>
      <c r="G21" s="472"/>
      <c r="H21" s="473"/>
      <c r="I21" s="474">
        <f ca="1">(IF(COUNT(P21,R21,X21,Y21)&lt;3,SUM(P21,R21,X21,Y21),SUM(LARGE((P21,R21,X21,Y21),{1;2;3}))))+(IF(COUNT(Q21,S21,U21,W21)&lt;3,SUM(Q21,S21,U21,W21),SUM(LARGE((Q21,S21,U21,W21),{1;2;3}))))+(IF(COUNT(T21,V21,Z21,AA21,AB21,AC21)&lt;4,SUM(T21,V21,Z21,AA21,AB21,AC21),SUM(LARGE((T21,V21,Z21,AA21,AB21,AC21),{1;2;3;4}))))</f>
        <v>168</v>
      </c>
      <c r="J21" s="475" t="str">
        <f ca="1">INDEX(ETAPP!B$1:B$32,MATCH(COUNTIF(P21:AC21,PIV!A$1),ETAPP!A$1:A$32,0))&amp;INDEX(ETAPP!B$1:B$32,MATCH(COUNTIF(P21:AC21,PIV!A$2),ETAPP!A$1:A$32,0))&amp;INDEX(ETAPP!B$1:B$32,MATCH(COUNTIF(P21:AC21,PIV!A$3),ETAPP!A$1:A$32,0))&amp;INDEX(ETAPP!B$1:B$32,MATCH(COUNTIF(P21:AC21,PIV!A$4),ETAPP!A$1:A$32,0))&amp;INDEX(ETAPP!B$1:B$32,MATCH(COUNTIF(P21:AC21,PIV!A$5),ETAPP!A$1:A$32,0))&amp;INDEX(ETAPP!B$1:B$32,MATCH(COUNTIF(P21:AC21,PIV!A$6),ETAPP!A$1:A$32,0))&amp;INDEX(ETAPP!B$1:B$32,MATCH(COUNTIF(P21:AC21,PIV!A$7),ETAPP!A$1:A$32,0))&amp;INDEX(ETAPP!B$1:B$32,MATCH(COUNTIF(P21:AC21,PIV!A$8),ETAPP!A$1:A$32,0))&amp;INDEX(ETAPP!B$1:B$32,MATCH(COUNTIF(P21:AC21,PIV!A$9),ETAPP!A$1:A$32,0))&amp;INDEX(ETAPP!B$1:B$32,MATCH(COUNTIF(P21:AC21,PIV!A$10),ETAPP!A$1:A$32,0))&amp;INDEX(ETAPP!B$1:B$32,MATCH(COUNTIF(P21:AC21,PIV!A$11),ETAPP!A$1:A$32,0))&amp;INDEX(ETAPP!B$1:B$32,MATCH(COUNTIF(P21:AC21,PIV!A$12),ETAPP!A$1:A$32,0))&amp;INDEX(ETAPP!B$1:B$32,MATCH(COUNTIF(P21:AC21,PIV!A$13),ETAPP!A$1:A$32,0))&amp;INDEX(ETAPP!B$1:B$32,MATCH(COUNTIF(P21:AC21,PIV!A$14),ETAPP!A$1:A$32,0))&amp;INDEX(ETAPP!B$1:B$32,MATCH(COUNTIF(P21:AC21,PIV!A$15),ETAPP!A$1:A$32,0))&amp;INDEX(ETAPP!B$1:B$32,MATCH(COUNTIF(P21:AC21,PIV!A$16),ETAPP!A$1:A$32,0))&amp;INDEX(ETAPP!B$1:B$32,MATCH(COUNTIF(P21:AC21,PIV!A$17),ETAPP!A$1:A$32,0))&amp;INDEX(ETAPP!B$1:B$32,MATCH(COUNTIF(P21:AC21,PIV!A$18),ETAPP!A$1:A$32,0))&amp;INDEX(ETAPP!B$1:B$32,MATCH(COUNTIF(P21:AC21,PIV!A$19),ETAPP!A$1:A$32,0))</f>
        <v>0A00BAAB0A0A000CA0A</v>
      </c>
      <c r="K21" s="475" t="str">
        <f t="shared" ca="1" si="2"/>
        <v>168,0-0A00BAAB0A0A000CA0A</v>
      </c>
      <c r="L21" s="476">
        <f ca="1">COUNTIF(K$8:K$64,"&gt;="&amp;K21)</f>
        <v>14</v>
      </c>
      <c r="M21" s="476">
        <f>COUNTIF(F$8:F$64,"&gt;="&amp;F21)</f>
        <v>55</v>
      </c>
      <c r="N21" s="475" t="str">
        <f t="shared" ca="1" si="3"/>
        <v>168,0-0A00BAAB0A0A000CA0A-055</v>
      </c>
      <c r="O21" s="477">
        <f ca="1">COUNTIF(N$8:N$64,"&lt;="&amp;N21)</f>
        <v>44</v>
      </c>
      <c r="P21" s="478">
        <f>IFERROR(INDEX('1'!C$300:C$400,MATCH("*"&amp;F21&amp;"*",'1'!B$300:B$400,0)),"  ")</f>
        <v>24</v>
      </c>
      <c r="Q21" s="479" t="str">
        <f>IFERROR(INDEX('2'!C$300:C$400,MATCH("*"&amp;F21&amp;"*",'2'!B$300:B$400,0)),"  ")</f>
        <v xml:space="preserve">  </v>
      </c>
      <c r="R21" s="479">
        <f>IFERROR(INDEX('3'!C$300:C$400,MATCH("*"&amp;F21&amp;"*",'3'!B$300:B$400,0)),"  ")</f>
        <v>34</v>
      </c>
      <c r="S21" s="479">
        <f>IFERROR(INDEX('4'!C$300:C$400,MATCH("*"&amp;F21&amp;"*",'4'!B$300:B$400,0)),"  ")</f>
        <v>18</v>
      </c>
      <c r="T21" s="479">
        <f>IFERROR(INDEX('5'!C$300:C$400,MATCH("*"&amp;F21&amp;"*",'5'!B$300:B$400,0)),"  ")</f>
        <v>14</v>
      </c>
      <c r="U21" s="479">
        <f>IFERROR(INDEX('6'!C$300:C$400,MATCH("*"&amp;F21&amp;"*",'6'!B$300:B$400,0)),"  ")</f>
        <v>22</v>
      </c>
      <c r="V21" s="479">
        <f ca="1">IFERROR(INDEX('7'!C$300:C$400,MATCH("*"&amp;F21&amp;"*",'7'!B$300:B$400,0)),"  ")</f>
        <v>10</v>
      </c>
      <c r="W21" s="479">
        <f>IFERROR(INDEX('8'!C$300:C$400,MATCH("*"&amp;F21&amp;"*",'8'!B$300:B$400,0)),"  ")</f>
        <v>18</v>
      </c>
      <c r="X21" s="479">
        <f>IFERROR(INDEX('9'!C$300:C$400,MATCH("*"&amp;F21&amp;"*",'9'!B$300:B$400,0)),"  ")</f>
        <v>20</v>
      </c>
      <c r="Y21" s="479">
        <f>IFERROR(INDEX('10'!C$300:C$400,MATCH("*"&amp;F21&amp;"*",'10'!B$300:B$400,0)),"  ")</f>
        <v>24</v>
      </c>
      <c r="Z21" s="478">
        <f>IFERROR(INDEX('11'!C$300:C$400,MATCH("*"&amp;F21&amp;"*",'11'!B$300:B$400,0)),"  ")</f>
        <v>2</v>
      </c>
      <c r="AA21" s="479">
        <f>IFERROR(INDEX('12'!C$300:C$400,MATCH("*"&amp;F21&amp;"*",'12'!B$300:B$400,0)),"  ")</f>
        <v>1</v>
      </c>
      <c r="AB21" s="479">
        <f>IFERROR(INDEX('13'!C$300:C$400,MATCH("*"&amp;F21&amp;"*",'13'!B$300:B$400,0)),"  ")</f>
        <v>2</v>
      </c>
      <c r="AC21" s="479">
        <f>IFERROR(INDEX('14'!C$300:C$400,MATCH("*"&amp;F21&amp;"*",'14'!B$300:B$400,0)),"  ")</f>
        <v>2</v>
      </c>
      <c r="AD21" s="481">
        <f t="shared" ca="1" si="4"/>
        <v>13</v>
      </c>
      <c r="AE21" s="481">
        <f t="shared" ca="1" si="5"/>
        <v>1</v>
      </c>
      <c r="AF21" s="481">
        <f t="shared" ca="1" si="6"/>
        <v>0</v>
      </c>
      <c r="AG21" s="482">
        <f t="shared" si="10"/>
        <v>20.000900000000001</v>
      </c>
      <c r="AH21" s="482">
        <f t="shared" si="7"/>
        <v>2.0000000000000001E-4</v>
      </c>
      <c r="AI21" s="482">
        <f t="shared" ca="1" si="8"/>
        <v>1.0012000000000001</v>
      </c>
      <c r="AJ21" s="482">
        <f t="shared" ca="1" si="9"/>
        <v>2.0011000000000001</v>
      </c>
      <c r="AK21" s="412"/>
    </row>
    <row r="22" spans="1:37" x14ac:dyDescent="0.2">
      <c r="A22" s="467">
        <f ca="1">IFERROR(RANK(B22,B$8:B$64,1),"")</f>
        <v>1</v>
      </c>
      <c r="B22" s="468">
        <f t="shared" ca="1" si="0"/>
        <v>15</v>
      </c>
      <c r="C22" s="469" t="str">
        <f>IFERROR(RANK(D22,D$8:D$64,1),"")</f>
        <v/>
      </c>
      <c r="D22" s="470" t="str">
        <f t="shared" si="1"/>
        <v/>
      </c>
      <c r="E22" s="471">
        <f ca="1">RANK(L22,L$8:L$64,1)</f>
        <v>15</v>
      </c>
      <c r="F22" s="484" t="s">
        <v>233</v>
      </c>
      <c r="G22" s="472" t="s">
        <v>234</v>
      </c>
      <c r="H22" s="473"/>
      <c r="I22" s="474">
        <f ca="1">(IF(COUNT(P22,R22,X22,Y22)&lt;3,SUM(P22,R22,X22,Y22),SUM(LARGE((P22,R22,X22,Y22),{1;2;3}))))+(IF(COUNT(Q22,S22,U22,W22)&lt;3,SUM(Q22,S22,U22,W22),SUM(LARGE((Q22,S22,U22,W22),{1;2;3}))))+(IF(COUNT(T22,V22,Z22,AA22,AB22,AC22)&lt;4,SUM(T22,V22,Z22,AA22,AB22,AC22),SUM(LARGE((T22,V22,Z22,AA22,AB22,AC22),{1;2;3;4}))))</f>
        <v>160</v>
      </c>
      <c r="J22" s="475" t="str">
        <f ca="1">INDEX(ETAPP!B$1:B$32,MATCH(COUNTIF(P22:AC22,PIV!A$1),ETAPP!A$1:A$32,0))&amp;INDEX(ETAPP!B$1:B$32,MATCH(COUNTIF(P22:AC22,PIV!A$2),ETAPP!A$1:A$32,0))&amp;INDEX(ETAPP!B$1:B$32,MATCH(COUNTIF(P22:AC22,PIV!A$3),ETAPP!A$1:A$32,0))&amp;INDEX(ETAPP!B$1:B$32,MATCH(COUNTIF(P22:AC22,PIV!A$4),ETAPP!A$1:A$32,0))&amp;INDEX(ETAPP!B$1:B$32,MATCH(COUNTIF(P22:AC22,PIV!A$5),ETAPP!A$1:A$32,0))&amp;INDEX(ETAPP!B$1:B$32,MATCH(COUNTIF(P22:AC22,PIV!A$6),ETAPP!A$1:A$32,0))&amp;INDEX(ETAPP!B$1:B$32,MATCH(COUNTIF(P22:AC22,PIV!A$7),ETAPP!A$1:A$32,0))&amp;INDEX(ETAPP!B$1:B$32,MATCH(COUNTIF(P22:AC22,PIV!A$8),ETAPP!A$1:A$32,0))&amp;INDEX(ETAPP!B$1:B$32,MATCH(COUNTIF(P22:AC22,PIV!A$9),ETAPP!A$1:A$32,0))&amp;INDEX(ETAPP!B$1:B$32,MATCH(COUNTIF(P22:AC22,PIV!A$10),ETAPP!A$1:A$32,0))&amp;INDEX(ETAPP!B$1:B$32,MATCH(COUNTIF(P22:AC22,PIV!A$11),ETAPP!A$1:A$32,0))&amp;INDEX(ETAPP!B$1:B$32,MATCH(COUNTIF(P22:AC22,PIV!A$12),ETAPP!A$1:A$32,0))&amp;INDEX(ETAPP!B$1:B$32,MATCH(COUNTIF(P22:AC22,PIV!A$13),ETAPP!A$1:A$32,0))&amp;INDEX(ETAPP!B$1:B$32,MATCH(COUNTIF(P22:AC22,PIV!A$14),ETAPP!A$1:A$32,0))&amp;INDEX(ETAPP!B$1:B$32,MATCH(COUNTIF(P22:AC22,PIV!A$15),ETAPP!A$1:A$32,0))&amp;INDEX(ETAPP!B$1:B$32,MATCH(COUNTIF(P22:AC22,PIV!A$16),ETAPP!A$1:A$32,0))&amp;INDEX(ETAPP!B$1:B$32,MATCH(COUNTIF(P22:AC22,PIV!A$17),ETAPP!A$1:A$32,0))&amp;INDEX(ETAPP!B$1:B$32,MATCH(COUNTIF(P22:AC22,PIV!A$18),ETAPP!A$1:A$32,0))&amp;INDEX(ETAPP!B$1:B$32,MATCH(COUNTIF(P22:AC22,PIV!A$19),ETAPP!A$1:A$32,0))</f>
        <v>A00A00B0A0BA00A000E</v>
      </c>
      <c r="K22" s="475" t="str">
        <f t="shared" ca="1" si="2"/>
        <v>160,0-A00A00B0A0BA00A000E</v>
      </c>
      <c r="L22" s="476">
        <f ca="1">COUNTIF(K$8:K$64,"&gt;="&amp;K22)</f>
        <v>15</v>
      </c>
      <c r="M22" s="476">
        <f>COUNTIF(F$8:F$64,"&gt;="&amp;F22)</f>
        <v>18</v>
      </c>
      <c r="N22" s="475" t="str">
        <f t="shared" ca="1" si="3"/>
        <v>160,0-A00A00B0A0BA00A000E-018</v>
      </c>
      <c r="O22" s="477">
        <f ca="1">COUNTIF(N$8:N$64,"&lt;="&amp;N22)</f>
        <v>43</v>
      </c>
      <c r="P22" s="478" t="str">
        <f>IFERROR(INDEX('1'!C$300:C$400,MATCH("*"&amp;F22&amp;"*",'1'!B$300:B$400,0)),"  ")</f>
        <v xml:space="preserve">  </v>
      </c>
      <c r="Q22" s="479">
        <f>IFERROR(INDEX('2'!C$300:C$400,MATCH("*"&amp;F22&amp;"*",'2'!B$300:B$400,0)),"  ")</f>
        <v>20</v>
      </c>
      <c r="R22" s="479" t="str">
        <f>IFERROR(INDEX('3'!C$300:C$400,MATCH("*"&amp;F22&amp;"*",'3'!B$300:B$400,0)),"  ")</f>
        <v xml:space="preserve">  </v>
      </c>
      <c r="S22" s="479">
        <f>IFERROR(INDEX('4'!C$300:C$400,MATCH("*"&amp;F22&amp;"*",'4'!B$300:B$400,0)),"  ")</f>
        <v>26</v>
      </c>
      <c r="T22" s="479" t="str">
        <f>IFERROR(INDEX('5'!C$300:C$400,MATCH("*"&amp;F22&amp;"*",'5'!B$300:B$400,0)),"  ")</f>
        <v xml:space="preserve">  </v>
      </c>
      <c r="U22" s="479">
        <f>IFERROR(INDEX('6'!C$300:C$400,MATCH("*"&amp;F22&amp;"*",'6'!B$300:B$400,0)),"  ")</f>
        <v>12</v>
      </c>
      <c r="V22" s="479">
        <f ca="1">IFERROR(INDEX('7'!C$300:C$400,MATCH("*"&amp;F22&amp;"*",'7'!B$300:B$400,0)),"  ")</f>
        <v>20</v>
      </c>
      <c r="W22" s="479" t="str">
        <f>IFERROR(INDEX('8'!C$300:C$400,MATCH("*"&amp;F22&amp;"*",'8'!B$300:B$400,0)),"  ")</f>
        <v xml:space="preserve">  </v>
      </c>
      <c r="X22" s="479">
        <f>IFERROR(INDEX('9'!C$300:C$400,MATCH("*"&amp;F22&amp;"*",'9'!B$300:B$400,0)),"  ")</f>
        <v>16</v>
      </c>
      <c r="Y22" s="479">
        <f>IFERROR(INDEX('10'!C$300:C$400,MATCH("*"&amp;F22&amp;"*",'10'!B$300:B$400,0)),"  ")</f>
        <v>40</v>
      </c>
      <c r="Z22" s="478">
        <f>IFERROR(INDEX('11'!C$300:C$400,MATCH("*"&amp;F22&amp;"*",'11'!B$300:B$400,0)),"  ")</f>
        <v>12</v>
      </c>
      <c r="AA22" s="479" t="str">
        <f>IFERROR(INDEX('12'!C$300:C$400,MATCH("*"&amp;F22&amp;"*",'12'!B$300:B$400,0)),"  ")</f>
        <v xml:space="preserve">  </v>
      </c>
      <c r="AB22" s="479">
        <f>IFERROR(INDEX('13'!C$300:C$400,MATCH("*"&amp;F22&amp;"*",'13'!B$300:B$400,0)),"  ")</f>
        <v>4</v>
      </c>
      <c r="AC22" s="479">
        <f>IFERROR(INDEX('14'!C$300:C$400,MATCH("*"&amp;F22&amp;"*",'14'!B$300:B$400,0)),"  ")</f>
        <v>10</v>
      </c>
      <c r="AD22" s="481">
        <f t="shared" ca="1" si="4"/>
        <v>9</v>
      </c>
      <c r="AE22" s="481">
        <f t="shared" ca="1" si="5"/>
        <v>1</v>
      </c>
      <c r="AF22" s="481">
        <f t="shared" ca="1" si="6"/>
        <v>1</v>
      </c>
      <c r="AG22" s="482">
        <f t="shared" si="10"/>
        <v>1E-4</v>
      </c>
      <c r="AH22" s="482">
        <f t="shared" si="7"/>
        <v>8.0000000000000004E-4</v>
      </c>
      <c r="AI22" s="482">
        <f t="shared" ca="1" si="8"/>
        <v>5.0000000000000001E-4</v>
      </c>
      <c r="AJ22" s="482">
        <f t="shared" ca="1" si="9"/>
        <v>1.1999999999999999E-3</v>
      </c>
      <c r="AK22" s="412"/>
    </row>
    <row r="23" spans="1:37" x14ac:dyDescent="0.2">
      <c r="A23" s="467" t="str">
        <f>IFERROR(RANK(B23,B$8:B$64,1),"")</f>
        <v/>
      </c>
      <c r="B23" s="468" t="str">
        <f t="shared" si="0"/>
        <v/>
      </c>
      <c r="C23" s="469" t="str">
        <f>IFERROR(RANK(D23,D$8:D$64,1),"")</f>
        <v/>
      </c>
      <c r="D23" s="470" t="str">
        <f t="shared" si="1"/>
        <v/>
      </c>
      <c r="E23" s="471">
        <f ca="1">RANK(L23,L$8:L$64,1)</f>
        <v>16</v>
      </c>
      <c r="F23" s="484" t="s">
        <v>235</v>
      </c>
      <c r="G23" s="472"/>
      <c r="H23" s="473"/>
      <c r="I23" s="474">
        <f ca="1">(IF(COUNT(P23,R23,X23,Y23)&lt;3,SUM(P23,R23,X23,Y23),SUM(LARGE((P23,R23,X23,Y23),{1;2;3}))))+(IF(COUNT(Q23,S23,U23,W23)&lt;3,SUM(Q23,S23,U23,W23),SUM(LARGE((Q23,S23,U23,W23),{1;2;3}))))+(IF(COUNT(T23,V23,Z23,AA23,AB23,AC23)&lt;4,SUM(T23,V23,Z23,AA23,AB23,AC23),SUM(LARGE((T23,V23,Z23,AA23,AB23,AC23),{1;2;3;4}))))</f>
        <v>158</v>
      </c>
      <c r="J23" s="475" t="str">
        <f ca="1">INDEX(ETAPP!B$1:B$32,MATCH(COUNTIF(P23:AC23,PIV!A$1),ETAPP!A$1:A$32,0))&amp;INDEX(ETAPP!B$1:B$32,MATCH(COUNTIF(P23:AC23,PIV!A$2),ETAPP!A$1:A$32,0))&amp;INDEX(ETAPP!B$1:B$32,MATCH(COUNTIF(P23:AC23,PIV!A$3),ETAPP!A$1:A$32,0))&amp;INDEX(ETAPP!B$1:B$32,MATCH(COUNTIF(P23:AC23,PIV!A$4),ETAPP!A$1:A$32,0))&amp;INDEX(ETAPP!B$1:B$32,MATCH(COUNTIF(P23:AC23,PIV!A$5),ETAPP!A$1:A$32,0))&amp;INDEX(ETAPP!B$1:B$32,MATCH(COUNTIF(P23:AC23,PIV!A$6),ETAPP!A$1:A$32,0))&amp;INDEX(ETAPP!B$1:B$32,MATCH(COUNTIF(P23:AC23,PIV!A$7),ETAPP!A$1:A$32,0))&amp;INDEX(ETAPP!B$1:B$32,MATCH(COUNTIF(P23:AC23,PIV!A$8),ETAPP!A$1:A$32,0))&amp;INDEX(ETAPP!B$1:B$32,MATCH(COUNTIF(P23:AC23,PIV!A$9),ETAPP!A$1:A$32,0))&amp;INDEX(ETAPP!B$1:B$32,MATCH(COUNTIF(P23:AC23,PIV!A$10),ETAPP!A$1:A$32,0))&amp;INDEX(ETAPP!B$1:B$32,MATCH(COUNTIF(P23:AC23,PIV!A$11),ETAPP!A$1:A$32,0))&amp;INDEX(ETAPP!B$1:B$32,MATCH(COUNTIF(P23:AC23,PIV!A$12),ETAPP!A$1:A$32,0))&amp;INDEX(ETAPP!B$1:B$32,MATCH(COUNTIF(P23:AC23,PIV!A$13),ETAPP!A$1:A$32,0))&amp;INDEX(ETAPP!B$1:B$32,MATCH(COUNTIF(P23:AC23,PIV!A$14),ETAPP!A$1:A$32,0))&amp;INDEX(ETAPP!B$1:B$32,MATCH(COUNTIF(P23:AC23,PIV!A$15),ETAPP!A$1:A$32,0))&amp;INDEX(ETAPP!B$1:B$32,MATCH(COUNTIF(P23:AC23,PIV!A$16),ETAPP!A$1:A$32,0))&amp;INDEX(ETAPP!B$1:B$32,MATCH(COUNTIF(P23:AC23,PIV!A$17),ETAPP!A$1:A$32,0))&amp;INDEX(ETAPP!B$1:B$32,MATCH(COUNTIF(P23:AC23,PIV!A$18),ETAPP!A$1:A$32,0))&amp;INDEX(ETAPP!B$1:B$32,MATCH(COUNTIF(P23:AC23,PIV!A$19),ETAPP!A$1:A$32,0))</f>
        <v>00AA0AAB0A0000BAA0C</v>
      </c>
      <c r="K23" s="475" t="str">
        <f t="shared" ca="1" si="2"/>
        <v>158,0-00AA0AAB0A0000BAA0C</v>
      </c>
      <c r="L23" s="476">
        <f ca="1">COUNTIF(K$8:K$64,"&gt;="&amp;K23)</f>
        <v>16</v>
      </c>
      <c r="M23" s="476">
        <f>COUNTIF(F$8:F$64,"&gt;="&amp;F23)</f>
        <v>13</v>
      </c>
      <c r="N23" s="475" t="str">
        <f t="shared" ca="1" si="3"/>
        <v>158,0-00AA0AAB0A0000BAA0C-013</v>
      </c>
      <c r="O23" s="477">
        <f ca="1">COUNTIF(N$8:N$64,"&lt;="&amp;N23)</f>
        <v>42</v>
      </c>
      <c r="P23" s="478">
        <f>IFERROR(INDEX('1'!C$300:C$400,MATCH("*"&amp;F23&amp;"*",'1'!B$300:B$400,0)),"  ")</f>
        <v>26</v>
      </c>
      <c r="Q23" s="479">
        <f>IFERROR(INDEX('2'!C$300:C$400,MATCH("*"&amp;F23&amp;"*",'2'!B$300:B$400,0)),"  ")</f>
        <v>22</v>
      </c>
      <c r="R23" s="479">
        <f>IFERROR(INDEX('3'!C$300:C$400,MATCH("*"&amp;F23&amp;"*",'3'!B$300:B$400,0)),"  ")</f>
        <v>30</v>
      </c>
      <c r="S23" s="479" t="str">
        <f>IFERROR(INDEX('4'!C$300:C$400,MATCH("*"&amp;F23&amp;"*",'4'!B$300:B$400,0)),"  ")</f>
        <v xml:space="preserve">  </v>
      </c>
      <c r="T23" s="479">
        <f>IFERROR(INDEX('5'!C$300:C$400,MATCH("*"&amp;F23&amp;"*",'5'!B$300:B$400,0)),"  ")</f>
        <v>2</v>
      </c>
      <c r="U23" s="479">
        <f>IFERROR(INDEX('6'!C$300:C$400,MATCH("*"&amp;F23&amp;"*",'6'!B$300:B$400,0)),"  ")</f>
        <v>4</v>
      </c>
      <c r="V23" s="479">
        <f ca="1">IFERROR(INDEX('7'!C$300:C$400,MATCH("*"&amp;F23&amp;"*",'7'!B$300:B$400,0)),"  ")</f>
        <v>4</v>
      </c>
      <c r="W23" s="479">
        <f>IFERROR(INDEX('8'!C$300:C$400,MATCH("*"&amp;F23&amp;"*",'8'!B$300:B$400,0)),"  ")</f>
        <v>20</v>
      </c>
      <c r="X23" s="479">
        <f>IFERROR(INDEX('9'!C$300:C$400,MATCH("*"&amp;F23&amp;"*",'9'!B$300:B$400,0)),"  ")</f>
        <v>14</v>
      </c>
      <c r="Y23" s="479" t="str">
        <f>IFERROR(INDEX('10'!C$300:C$400,MATCH("*"&amp;F23&amp;"*",'10'!B$300:B$400,0)),"  ")</f>
        <v xml:space="preserve">  </v>
      </c>
      <c r="Z23" s="478">
        <f>IFERROR(INDEX('11'!C$300:C$400,MATCH("*"&amp;F23&amp;"*",'11'!B$300:B$400,0)),"  ")</f>
        <v>1</v>
      </c>
      <c r="AA23" s="479">
        <f>IFERROR(INDEX('12'!C$300:C$400,MATCH("*"&amp;F23&amp;"*",'12'!B$300:B$400,0)),"  ")</f>
        <v>18</v>
      </c>
      <c r="AB23" s="479" t="str">
        <f>IFERROR(INDEX('13'!C$300:C$400,MATCH("*"&amp;F23&amp;"*",'13'!B$300:B$400,0)),"  ")</f>
        <v xml:space="preserve">  </v>
      </c>
      <c r="AC23" s="479">
        <f>IFERROR(INDEX('14'!C$300:C$400,MATCH("*"&amp;F23&amp;"*",'14'!B$300:B$400,0)),"  ")</f>
        <v>18</v>
      </c>
      <c r="AD23" s="481">
        <f t="shared" ca="1" si="4"/>
        <v>11</v>
      </c>
      <c r="AE23" s="481">
        <f t="shared" ca="1" si="5"/>
        <v>1</v>
      </c>
      <c r="AF23" s="481">
        <f t="shared" ca="1" si="6"/>
        <v>0</v>
      </c>
      <c r="AG23" s="482">
        <f t="shared" si="10"/>
        <v>1E-3</v>
      </c>
      <c r="AH23" s="482">
        <f t="shared" si="7"/>
        <v>4.0000000000000002E-4</v>
      </c>
      <c r="AI23" s="482">
        <f t="shared" ca="1" si="8"/>
        <v>1.2999999999999999E-3</v>
      </c>
      <c r="AJ23" s="482">
        <f t="shared" ca="1" si="9"/>
        <v>1.0011000000000001</v>
      </c>
      <c r="AK23" s="412"/>
    </row>
    <row r="24" spans="1:37" x14ac:dyDescent="0.2">
      <c r="A24" s="467" t="str">
        <f>IFERROR(RANK(B24,B$8:B$64,1),"")</f>
        <v/>
      </c>
      <c r="B24" s="468" t="str">
        <f t="shared" si="0"/>
        <v/>
      </c>
      <c r="C24" s="469" t="str">
        <f>IFERROR(RANK(D24,D$8:D$64,1),"")</f>
        <v/>
      </c>
      <c r="D24" s="470" t="str">
        <f t="shared" si="1"/>
        <v/>
      </c>
      <c r="E24" s="471">
        <f ca="1">RANK(L24,L$8:L$64,1)</f>
        <v>17</v>
      </c>
      <c r="F24" s="484" t="s">
        <v>236</v>
      </c>
      <c r="G24" s="472"/>
      <c r="H24" s="473"/>
      <c r="I24" s="474">
        <f ca="1">(IF(COUNT(P24,R24,X24,Y24)&lt;3,SUM(P24,R24,X24,Y24),SUM(LARGE((P24,R24,X24,Y24),{1;2;3}))))+(IF(COUNT(Q24,S24,U24,W24)&lt;3,SUM(Q24,S24,U24,W24),SUM(LARGE((Q24,S24,U24,W24),{1;2;3}))))+(IF(COUNT(T24,V24,Z24,AA24,AB24,AC24)&lt;4,SUM(T24,V24,Z24,AA24,AB24,AC24),SUM(LARGE((T24,V24,Z24,AA24,AB24,AC24),{1;2;3;4}))))</f>
        <v>132</v>
      </c>
      <c r="J24" s="475" t="str">
        <f ca="1">INDEX(ETAPP!B$1:B$32,MATCH(COUNTIF(P24:AC24,PIV!A$1),ETAPP!A$1:A$32,0))&amp;INDEX(ETAPP!B$1:B$32,MATCH(COUNTIF(P24:AC24,PIV!A$2),ETAPP!A$1:A$32,0))&amp;INDEX(ETAPP!B$1:B$32,MATCH(COUNTIF(P24:AC24,PIV!A$3),ETAPP!A$1:A$32,0))&amp;INDEX(ETAPP!B$1:B$32,MATCH(COUNTIF(P24:AC24,PIV!A$4),ETAPP!A$1:A$32,0))&amp;INDEX(ETAPP!B$1:B$32,MATCH(COUNTIF(P24:AC24,PIV!A$5),ETAPP!A$1:A$32,0))&amp;INDEX(ETAPP!B$1:B$32,MATCH(COUNTIF(P24:AC24,PIV!A$6),ETAPP!A$1:A$32,0))&amp;INDEX(ETAPP!B$1:B$32,MATCH(COUNTIF(P24:AC24,PIV!A$7),ETAPP!A$1:A$32,0))&amp;INDEX(ETAPP!B$1:B$32,MATCH(COUNTIF(P24:AC24,PIV!A$8),ETAPP!A$1:A$32,0))&amp;INDEX(ETAPP!B$1:B$32,MATCH(COUNTIF(P24:AC24,PIV!A$9),ETAPP!A$1:A$32,0))&amp;INDEX(ETAPP!B$1:B$32,MATCH(COUNTIF(P24:AC24,PIV!A$10),ETAPP!A$1:A$32,0))&amp;INDEX(ETAPP!B$1:B$32,MATCH(COUNTIF(P24:AC24,PIV!A$11),ETAPP!A$1:A$32,0))&amp;INDEX(ETAPP!B$1:B$32,MATCH(COUNTIF(P24:AC24,PIV!A$12),ETAPP!A$1:A$32,0))&amp;INDEX(ETAPP!B$1:B$32,MATCH(COUNTIF(P24:AC24,PIV!A$13),ETAPP!A$1:A$32,0))&amp;INDEX(ETAPP!B$1:B$32,MATCH(COUNTIF(P24:AC24,PIV!A$14),ETAPP!A$1:A$32,0))&amp;INDEX(ETAPP!B$1:B$32,MATCH(COUNTIF(P24:AC24,PIV!A$15),ETAPP!A$1:A$32,0))&amp;INDEX(ETAPP!B$1:B$32,MATCH(COUNTIF(P24:AC24,PIV!A$16),ETAPP!A$1:A$32,0))&amp;INDEX(ETAPP!B$1:B$32,MATCH(COUNTIF(P24:AC24,PIV!A$17),ETAPP!A$1:A$32,0))&amp;INDEX(ETAPP!B$1:B$32,MATCH(COUNTIF(P24:AC24,PIV!A$18),ETAPP!A$1:A$32,0))&amp;INDEX(ETAPP!B$1:B$32,MATCH(COUNTIF(P24:AC24,PIV!A$19),ETAPP!A$1:A$32,0))</f>
        <v>000BAB0000A0000000C</v>
      </c>
      <c r="K24" s="475" t="str">
        <f t="shared" ca="1" si="2"/>
        <v>132,0-000BAB0000A0000000C</v>
      </c>
      <c r="L24" s="476">
        <f ca="1">COUNTIF(K$8:K$64,"&gt;="&amp;K24)</f>
        <v>17</v>
      </c>
      <c r="M24" s="476">
        <f>COUNTIF(F$8:F$64,"&gt;="&amp;F24)</f>
        <v>53</v>
      </c>
      <c r="N24" s="475" t="str">
        <f t="shared" ca="1" si="3"/>
        <v>132,0-000BAB0000A0000000C-053</v>
      </c>
      <c r="O24" s="477">
        <f ca="1">COUNTIF(N$8:N$64,"&lt;="&amp;N24)</f>
        <v>41</v>
      </c>
      <c r="P24" s="478">
        <f>IFERROR(INDEX('1'!C$300:C$400,MATCH("*"&amp;F24&amp;"*",'1'!B$300:B$400,0)),"  ")</f>
        <v>22</v>
      </c>
      <c r="Q24" s="479" t="str">
        <f>IFERROR(INDEX('2'!C$300:C$400,MATCH("*"&amp;F24&amp;"*",'2'!B$300:B$400,0)),"  ")</f>
        <v xml:space="preserve">  </v>
      </c>
      <c r="R24" s="479">
        <f>IFERROR(INDEX('3'!C$300:C$400,MATCH("*"&amp;F24&amp;"*",'3'!B$300:B$400,0)),"  ")</f>
        <v>22</v>
      </c>
      <c r="S24" s="479">
        <f>IFERROR(INDEX('4'!C$300:C$400,MATCH("*"&amp;F24&amp;"*",'4'!B$300:B$400,0)),"  ")</f>
        <v>24</v>
      </c>
      <c r="T24" s="479">
        <f>IFERROR(INDEX('5'!C$300:C$400,MATCH("*"&amp;F24&amp;"*",'5'!B$300:B$400,0)),"  ")</f>
        <v>12</v>
      </c>
      <c r="U24" s="479">
        <f>IFERROR(INDEX('6'!C$300:C$400,MATCH("*"&amp;F24&amp;"*",'6'!B$300:B$400,0)),"  ")</f>
        <v>26</v>
      </c>
      <c r="V24" s="479" t="str">
        <f ca="1">IFERROR(INDEX('7'!C$300:C$400,MATCH("*"&amp;F24&amp;"*",'7'!B$300:B$400,0)),"  ")</f>
        <v xml:space="preserve">  </v>
      </c>
      <c r="W24" s="479" t="str">
        <f>IFERROR(INDEX('8'!C$300:C$400,MATCH("*"&amp;F24&amp;"*",'8'!B$300:B$400,0)),"  ")</f>
        <v xml:space="preserve">  </v>
      </c>
      <c r="X24" s="479">
        <f>IFERROR(INDEX('9'!C$300:C$400,MATCH("*"&amp;F24&amp;"*",'9'!B$300:B$400,0)),"  ")</f>
        <v>26</v>
      </c>
      <c r="Y24" s="479" t="str">
        <f>IFERROR(INDEX('10'!C$300:C$400,MATCH("*"&amp;F24&amp;"*",'10'!B$300:B$400,0)),"  ")</f>
        <v xml:space="preserve">  </v>
      </c>
      <c r="Z24" s="478" t="str">
        <f>IFERROR(INDEX('11'!C$300:C$400,MATCH("*"&amp;F24&amp;"*",'11'!B$300:B$400,0)),"  ")</f>
        <v xml:space="preserve">  </v>
      </c>
      <c r="AA24" s="479" t="str">
        <f>IFERROR(INDEX('12'!C$300:C$400,MATCH("*"&amp;F24&amp;"*",'12'!B$300:B$400,0)),"  ")</f>
        <v xml:space="preserve">  </v>
      </c>
      <c r="AB24" s="479" t="str">
        <f>IFERROR(INDEX('13'!C$300:C$400,MATCH("*"&amp;F24&amp;"*",'13'!B$300:B$400,0)),"  ")</f>
        <v xml:space="preserve">  </v>
      </c>
      <c r="AC24" s="479" t="str">
        <f>IFERROR(INDEX('14'!C$300:C$400,MATCH("*"&amp;F24&amp;"*",'14'!B$300:B$400,0)),"  ")</f>
        <v xml:space="preserve">  </v>
      </c>
      <c r="AD24" s="481">
        <f t="shared" ca="1" si="4"/>
        <v>6</v>
      </c>
      <c r="AE24" s="481">
        <f t="shared" ca="1" si="5"/>
        <v>0</v>
      </c>
      <c r="AF24" s="481">
        <f t="shared" ca="1" si="6"/>
        <v>0</v>
      </c>
      <c r="AG24" s="482">
        <f t="shared" si="10"/>
        <v>1E-3</v>
      </c>
      <c r="AH24" s="482">
        <f t="shared" si="7"/>
        <v>2.0000000000000001E-4</v>
      </c>
      <c r="AI24" s="482">
        <f t="shared" ca="1" si="8"/>
        <v>6.9999999999999999E-4</v>
      </c>
      <c r="AJ24" s="482">
        <f t="shared" ca="1" si="9"/>
        <v>1.1000000000000001E-3</v>
      </c>
      <c r="AK24" s="412"/>
    </row>
    <row r="25" spans="1:37" x14ac:dyDescent="0.2">
      <c r="A25" s="467" t="str">
        <f>IFERROR(RANK(B25,B$8:B$64,1),"")</f>
        <v/>
      </c>
      <c r="B25" s="468" t="str">
        <f t="shared" si="0"/>
        <v/>
      </c>
      <c r="C25" s="469" t="str">
        <f>IFERROR(RANK(D25,D$8:D$64,1),"")</f>
        <v/>
      </c>
      <c r="D25" s="470" t="str">
        <f t="shared" si="1"/>
        <v/>
      </c>
      <c r="E25" s="471">
        <f ca="1">RANK(L25,L$8:L$64,1)</f>
        <v>18</v>
      </c>
      <c r="F25" s="432" t="s">
        <v>237</v>
      </c>
      <c r="G25" s="472"/>
      <c r="H25" s="473"/>
      <c r="I25" s="474">
        <f ca="1">(IF(COUNT(P25,R25,X25,Y25)&lt;3,SUM(P25,R25,X25,Y25),SUM(LARGE((P25,R25,X25,Y25),{1;2;3}))))+(IF(COUNT(Q25,S25,U25,W25)&lt;3,SUM(Q25,S25,U25,W25),SUM(LARGE((Q25,S25,U25,W25),{1;2;3}))))+(IF(COUNT(T25,V25,Z25,AA25,AB25,AC25)&lt;4,SUM(T25,V25,Z25,AA25,AB25,AC25),SUM(LARGE((T25,V25,Z25,AA25,AB25,AC25),{1;2;3;4}))))</f>
        <v>124</v>
      </c>
      <c r="J25" s="475" t="str">
        <f ca="1">INDEX(ETAPP!B$1:B$32,MATCH(COUNTIF(P25:AC25,PIV!A$1),ETAPP!A$1:A$32,0))&amp;INDEX(ETAPP!B$1:B$32,MATCH(COUNTIF(P25:AC25,PIV!A$2),ETAPP!A$1:A$32,0))&amp;INDEX(ETAPP!B$1:B$32,MATCH(COUNTIF(P25:AC25,PIV!A$3),ETAPP!A$1:A$32,0))&amp;INDEX(ETAPP!B$1:B$32,MATCH(COUNTIF(P25:AC25,PIV!A$4),ETAPP!A$1:A$32,0))&amp;INDEX(ETAPP!B$1:B$32,MATCH(COUNTIF(P25:AC25,PIV!A$5),ETAPP!A$1:A$32,0))&amp;INDEX(ETAPP!B$1:B$32,MATCH(COUNTIF(P25:AC25,PIV!A$6),ETAPP!A$1:A$32,0))&amp;INDEX(ETAPP!B$1:B$32,MATCH(COUNTIF(P25:AC25,PIV!A$7),ETAPP!A$1:A$32,0))&amp;INDEX(ETAPP!B$1:B$32,MATCH(COUNTIF(P25:AC25,PIV!A$8),ETAPP!A$1:A$32,0))&amp;INDEX(ETAPP!B$1:B$32,MATCH(COUNTIF(P25:AC25,PIV!A$9),ETAPP!A$1:A$32,0))&amp;INDEX(ETAPP!B$1:B$32,MATCH(COUNTIF(P25:AC25,PIV!A$10),ETAPP!A$1:A$32,0))&amp;INDEX(ETAPP!B$1:B$32,MATCH(COUNTIF(P25:AC25,PIV!A$11),ETAPP!A$1:A$32,0))&amp;INDEX(ETAPP!B$1:B$32,MATCH(COUNTIF(P25:AC25,PIV!A$12),ETAPP!A$1:A$32,0))&amp;INDEX(ETAPP!B$1:B$32,MATCH(COUNTIF(P25:AC25,PIV!A$13),ETAPP!A$1:A$32,0))&amp;INDEX(ETAPP!B$1:B$32,MATCH(COUNTIF(P25:AC25,PIV!A$14),ETAPP!A$1:A$32,0))&amp;INDEX(ETAPP!B$1:B$32,MATCH(COUNTIF(P25:AC25,PIV!A$15),ETAPP!A$1:A$32,0))&amp;INDEX(ETAPP!B$1:B$32,MATCH(COUNTIF(P25:AC25,PIV!A$16),ETAPP!A$1:A$32,0))&amp;INDEX(ETAPP!B$1:B$32,MATCH(COUNTIF(P25:AC25,PIV!A$17),ETAPP!A$1:A$32,0))&amp;INDEX(ETAPP!B$1:B$32,MATCH(COUNTIF(P25:AC25,PIV!A$18),ETAPP!A$1:A$32,0))&amp;INDEX(ETAPP!B$1:B$32,MATCH(COUNTIF(P25:AC25,PIV!A$19),ETAPP!A$1:A$32,0))</f>
        <v>00AA0AA00A00A0A000G</v>
      </c>
      <c r="K25" s="475" t="str">
        <f t="shared" ca="1" si="2"/>
        <v>124,0-00AA0AA00A00A0A000G</v>
      </c>
      <c r="L25" s="476">
        <f ca="1">COUNTIF(K$8:K$64,"&gt;="&amp;K25)</f>
        <v>18</v>
      </c>
      <c r="M25" s="476">
        <f>COUNTIF(F$8:F$64,"&gt;="&amp;F25)</f>
        <v>2</v>
      </c>
      <c r="N25" s="475" t="str">
        <f t="shared" ca="1" si="3"/>
        <v>124,0-00AA0AA00A00A0A000G-002</v>
      </c>
      <c r="O25" s="477">
        <f ca="1">COUNTIF(N$8:N$64,"&lt;="&amp;N25)</f>
        <v>40</v>
      </c>
      <c r="P25" s="478">
        <f>IFERROR(INDEX('1'!C$300:C$400,MATCH("*"&amp;F25&amp;"*",'1'!B$300:B$400,0)),"  ")</f>
        <v>26</v>
      </c>
      <c r="Q25" s="479">
        <f>IFERROR(INDEX('2'!C$300:C$400,MATCH("*"&amp;F25&amp;"*",'2'!B$300:B$400,0)),"  ")</f>
        <v>22</v>
      </c>
      <c r="R25" s="479">
        <f>IFERROR(INDEX('3'!C$300:C$400,MATCH("*"&amp;F25&amp;"*",'3'!B$300:B$400,0)),"  ")</f>
        <v>30</v>
      </c>
      <c r="S25" s="479" t="str">
        <f>IFERROR(INDEX('4'!C$300:C$400,MATCH("*"&amp;F25&amp;"*",'4'!B$300:B$400,0)),"  ")</f>
        <v xml:space="preserve">  </v>
      </c>
      <c r="T25" s="479" t="str">
        <f>IFERROR(INDEX('5'!C$300:C$400,MATCH("*"&amp;F25&amp;"*",'5'!B$300:B$400,0)),"  ")</f>
        <v xml:space="preserve">  </v>
      </c>
      <c r="U25" s="479">
        <f>IFERROR(INDEX('6'!C$300:C$400,MATCH("*"&amp;F25&amp;"*",'6'!B$300:B$400,0)),"  ")</f>
        <v>4</v>
      </c>
      <c r="V25" s="479">
        <f ca="1">IFERROR(INDEX('7'!C$300:C$400,MATCH("*"&amp;F25&amp;"*",'7'!B$300:B$400,0)),"  ")</f>
        <v>8</v>
      </c>
      <c r="W25" s="479">
        <f>IFERROR(INDEX('8'!C$300:C$400,MATCH("*"&amp;F25&amp;"*",'8'!B$300:B$400,0)),"  ")</f>
        <v>20</v>
      </c>
      <c r="X25" s="479">
        <f>IFERROR(INDEX('9'!C$300:C$400,MATCH("*"&amp;F25&amp;"*",'9'!B$300:B$400,0)),"  ")</f>
        <v>14</v>
      </c>
      <c r="Y25" s="479" t="str">
        <f>IFERROR(INDEX('10'!C$300:C$400,MATCH("*"&amp;F25&amp;"*",'10'!B$300:B$400,0)),"  ")</f>
        <v xml:space="preserve">  </v>
      </c>
      <c r="Z25" s="478" t="str">
        <f>IFERROR(INDEX('11'!C$300:C$400,MATCH("*"&amp;F25&amp;"*",'11'!B$300:B$400,0)),"  ")</f>
        <v xml:space="preserve">  </v>
      </c>
      <c r="AA25" s="479" t="str">
        <f>IFERROR(INDEX('12'!C$300:C$400,MATCH("*"&amp;F25&amp;"*",'12'!B$300:B$400,0)),"  ")</f>
        <v xml:space="preserve">  </v>
      </c>
      <c r="AB25" s="479" t="str">
        <f>IFERROR(INDEX('13'!C$300:C$400,MATCH("*"&amp;F25&amp;"*",'13'!B$300:B$400,0)),"  ")</f>
        <v xml:space="preserve">  </v>
      </c>
      <c r="AC25" s="479" t="str">
        <f>IFERROR(INDEX('14'!C$300:C$400,MATCH("*"&amp;F25&amp;"*",'14'!B$300:B$400,0)),"  ")</f>
        <v xml:space="preserve">  </v>
      </c>
      <c r="AD25" s="481">
        <f t="shared" ca="1" si="4"/>
        <v>7</v>
      </c>
      <c r="AE25" s="481">
        <f t="shared" ca="1" si="5"/>
        <v>1</v>
      </c>
      <c r="AF25" s="481">
        <f t="shared" ca="1" si="6"/>
        <v>0</v>
      </c>
      <c r="AG25" s="482">
        <f t="shared" si="10"/>
        <v>1E-3</v>
      </c>
      <c r="AH25" s="482">
        <f t="shared" si="7"/>
        <v>4.0000000000000002E-4</v>
      </c>
      <c r="AI25" s="482">
        <f t="shared" ca="1" si="8"/>
        <v>5.0000000000000001E-4</v>
      </c>
      <c r="AJ25" s="482">
        <f t="shared" ca="1" si="9"/>
        <v>1.1000000000000001E-3</v>
      </c>
      <c r="AK25" s="488"/>
    </row>
    <row r="26" spans="1:37" x14ac:dyDescent="0.2">
      <c r="A26" s="467" t="str">
        <f>IFERROR(RANK(B26,B$8:B$64,1),"")</f>
        <v/>
      </c>
      <c r="B26" s="468" t="str">
        <f t="shared" si="0"/>
        <v/>
      </c>
      <c r="C26" s="469" t="str">
        <f>IFERROR(RANK(D26,D$8:D$64,1),"")</f>
        <v/>
      </c>
      <c r="D26" s="470" t="str">
        <f t="shared" si="1"/>
        <v/>
      </c>
      <c r="E26" s="471">
        <f ca="1">RANK(L26,L$8:L$64,1)</f>
        <v>19</v>
      </c>
      <c r="F26" s="489" t="s">
        <v>238</v>
      </c>
      <c r="G26" s="472"/>
      <c r="H26" s="473"/>
      <c r="I26" s="474">
        <f ca="1">(IF(COUNT(P26,R26,X26,Y26)&lt;3,SUM(P26,R26,X26,Y26),SUM(LARGE((P26,R26,X26,Y26),{1;2;3}))))+(IF(COUNT(Q26,S26,U26,W26)&lt;3,SUM(Q26,S26,U26,W26),SUM(LARGE((Q26,S26,U26,W26),{1;2;3}))))+(IF(COUNT(T26,V26,Z26,AA26,AB26,AC26)&lt;4,SUM(T26,V26,Z26,AA26,AB26,AC26),SUM(LARGE((T26,V26,Z26,AA26,AB26,AC26),{1;2;3;4}))))</f>
        <v>120</v>
      </c>
      <c r="J26" s="475" t="str">
        <f ca="1">INDEX(ETAPP!B$1:B$32,MATCH(COUNTIF(P26:AC26,PIV!A$1),ETAPP!A$1:A$32,0))&amp;INDEX(ETAPP!B$1:B$32,MATCH(COUNTIF(P26:AC26,PIV!A$2),ETAPP!A$1:A$32,0))&amp;INDEX(ETAPP!B$1:B$32,MATCH(COUNTIF(P26:AC26,PIV!A$3),ETAPP!A$1:A$32,0))&amp;INDEX(ETAPP!B$1:B$32,MATCH(COUNTIF(P26:AC26,PIV!A$4),ETAPP!A$1:A$32,0))&amp;INDEX(ETAPP!B$1:B$32,MATCH(COUNTIF(P26:AC26,PIV!A$5),ETAPP!A$1:A$32,0))&amp;INDEX(ETAPP!B$1:B$32,MATCH(COUNTIF(P26:AC26,PIV!A$6),ETAPP!A$1:A$32,0))&amp;INDEX(ETAPP!B$1:B$32,MATCH(COUNTIF(P26:AC26,PIV!A$7),ETAPP!A$1:A$32,0))&amp;INDEX(ETAPP!B$1:B$32,MATCH(COUNTIF(P26:AC26,PIV!A$8),ETAPP!A$1:A$32,0))&amp;INDEX(ETAPP!B$1:B$32,MATCH(COUNTIF(P26:AC26,PIV!A$9),ETAPP!A$1:A$32,0))&amp;INDEX(ETAPP!B$1:B$32,MATCH(COUNTIF(P26:AC26,PIV!A$10),ETAPP!A$1:A$32,0))&amp;INDEX(ETAPP!B$1:B$32,MATCH(COUNTIF(P26:AC26,PIV!A$11),ETAPP!A$1:A$32,0))&amp;INDEX(ETAPP!B$1:B$32,MATCH(COUNTIF(P26:AC26,PIV!A$12),ETAPP!A$1:A$32,0))&amp;INDEX(ETAPP!B$1:B$32,MATCH(COUNTIF(P26:AC26,PIV!A$13),ETAPP!A$1:A$32,0))&amp;INDEX(ETAPP!B$1:B$32,MATCH(COUNTIF(P26:AC26,PIV!A$14),ETAPP!A$1:A$32,0))&amp;INDEX(ETAPP!B$1:B$32,MATCH(COUNTIF(P26:AC26,PIV!A$15),ETAPP!A$1:A$32,0))&amp;INDEX(ETAPP!B$1:B$32,MATCH(COUNTIF(P26:AC26,PIV!A$16),ETAPP!A$1:A$32,0))&amp;INDEX(ETAPP!B$1:B$32,MATCH(COUNTIF(P26:AC26,PIV!A$17),ETAPP!A$1:A$32,0))&amp;INDEX(ETAPP!B$1:B$32,MATCH(COUNTIF(P26:AC26,PIV!A$18),ETAPP!A$1:A$32,0))&amp;INDEX(ETAPP!B$1:B$32,MATCH(COUNTIF(P26:AC26,PIV!A$19),ETAPP!A$1:A$32,0))</f>
        <v>0ABA00000000000000E</v>
      </c>
      <c r="K26" s="475" t="str">
        <f t="shared" ca="1" si="2"/>
        <v>120,0-0ABA00000000000000E</v>
      </c>
      <c r="L26" s="476">
        <f ca="1">COUNTIF(K$8:K$64,"&gt;="&amp;K26)</f>
        <v>19</v>
      </c>
      <c r="M26" s="476">
        <f>COUNTIF(F$8:F$64,"&gt;="&amp;F26)</f>
        <v>35</v>
      </c>
      <c r="N26" s="475" t="str">
        <f t="shared" ca="1" si="3"/>
        <v>120,0-0ABA00000000000000E-035</v>
      </c>
      <c r="O26" s="477">
        <f ca="1">COUNTIF(N$8:N$64,"&lt;="&amp;N26)</f>
        <v>39</v>
      </c>
      <c r="P26" s="478" t="str">
        <f>IFERROR(INDEX('1'!C$300:C$400,MATCH("*"&amp;F26&amp;"*",'1'!B$300:B$400,0)),"  ")</f>
        <v xml:space="preserve">  </v>
      </c>
      <c r="Q26" s="479">
        <f>IFERROR(INDEX('2'!C$300:C$400,MATCH("*"&amp;F26&amp;"*",'2'!B$300:B$400,0)),"  ")</f>
        <v>26</v>
      </c>
      <c r="R26" s="479" t="str">
        <f>IFERROR(INDEX('3'!C$300:C$400,MATCH("*"&amp;F26&amp;"*",'3'!B$300:B$400,0)),"  ")</f>
        <v xml:space="preserve">  </v>
      </c>
      <c r="S26" s="479" t="str">
        <f>IFERROR(INDEX('4'!C$300:C$400,MATCH("*"&amp;F26&amp;"*",'4'!B$300:B$400,0)),"  ")</f>
        <v xml:space="preserve">  </v>
      </c>
      <c r="T26" s="479" t="str">
        <f>IFERROR(INDEX('5'!C$300:C$400,MATCH("*"&amp;F26&amp;"*",'5'!B$300:B$400,0)),"  ")</f>
        <v xml:space="preserve">  </v>
      </c>
      <c r="U26" s="479" t="str">
        <f>IFERROR(INDEX('6'!C$300:C$400,MATCH("*"&amp;F26&amp;"*",'6'!B$300:B$400,0)),"  ")</f>
        <v xml:space="preserve">  </v>
      </c>
      <c r="V26" s="479" t="str">
        <f ca="1">IFERROR(INDEX('7'!C$300:C$400,MATCH("*"&amp;F26&amp;"*",'7'!B$300:B$400,0)),"  ")</f>
        <v xml:space="preserve">  </v>
      </c>
      <c r="W26" s="479" t="str">
        <f>IFERROR(INDEX('8'!C$300:C$400,MATCH("*"&amp;F26&amp;"*",'8'!B$300:B$400,0)),"  ")</f>
        <v xml:space="preserve">  </v>
      </c>
      <c r="X26" s="479">
        <f>IFERROR(INDEX('9'!C$300:C$400,MATCH("*"&amp;F26&amp;"*",'9'!B$300:B$400,0)),"  ")</f>
        <v>30</v>
      </c>
      <c r="Y26" s="479">
        <f>IFERROR(INDEX('10'!C$300:C$400,MATCH("*"&amp;F26&amp;"*",'10'!B$300:B$400,0)),"  ")</f>
        <v>34</v>
      </c>
      <c r="Z26" s="478" t="str">
        <f>IFERROR(INDEX('11'!C$300:C$400,MATCH("*"&amp;F26&amp;"*",'11'!B$300:B$400,0)),"  ")</f>
        <v xml:space="preserve">  </v>
      </c>
      <c r="AA26" s="479">
        <f>IFERROR(INDEX('12'!C$300:C$400,MATCH("*"&amp;F26&amp;"*",'12'!B$300:B$400,0)),"  ")</f>
        <v>30</v>
      </c>
      <c r="AB26" s="479" t="str">
        <f>IFERROR(INDEX('13'!C$300:C$400,MATCH("*"&amp;F26&amp;"*",'13'!B$300:B$400,0)),"  ")</f>
        <v xml:space="preserve">  </v>
      </c>
      <c r="AC26" s="479" t="str">
        <f>IFERROR(INDEX('14'!C$300:C$400,MATCH("*"&amp;F26&amp;"*",'14'!B$300:B$400,0)),"  ")</f>
        <v xml:space="preserve">  </v>
      </c>
      <c r="AD26" s="481">
        <f t="shared" ca="1" si="4"/>
        <v>4</v>
      </c>
      <c r="AE26" s="481">
        <f t="shared" ca="1" si="5"/>
        <v>3</v>
      </c>
      <c r="AF26" s="481">
        <f t="shared" ca="1" si="6"/>
        <v>0</v>
      </c>
      <c r="AG26" s="482">
        <f t="shared" si="10"/>
        <v>1E-4</v>
      </c>
      <c r="AH26" s="482">
        <f t="shared" si="7"/>
        <v>4.0000000000000002E-4</v>
      </c>
      <c r="AI26" s="482">
        <f t="shared" ca="1" si="8"/>
        <v>5.0000000000000001E-4</v>
      </c>
      <c r="AJ26" s="482" t="e">
        <f t="shared" ca="1" si="9"/>
        <v>#VALUE!</v>
      </c>
      <c r="AK26" s="412"/>
    </row>
    <row r="27" spans="1:37" x14ac:dyDescent="0.2">
      <c r="A27" s="467" t="str">
        <f>IFERROR(RANK(B27,B$8:B$64,1),"")</f>
        <v/>
      </c>
      <c r="B27" s="468" t="str">
        <f t="shared" si="0"/>
        <v/>
      </c>
      <c r="C27" s="469">
        <f ca="1">IFERROR(RANK(D27,D$8:D$64,1),"")</f>
        <v>1</v>
      </c>
      <c r="D27" s="470">
        <f t="shared" ca="1" si="1"/>
        <v>20</v>
      </c>
      <c r="E27" s="490">
        <f ca="1">RANK(L27,L$8:L$64,1)</f>
        <v>20</v>
      </c>
      <c r="F27" s="432" t="s">
        <v>239</v>
      </c>
      <c r="G27" s="491"/>
      <c r="H27" s="492" t="s">
        <v>240</v>
      </c>
      <c r="I27" s="474">
        <f ca="1">(IF(COUNT(P27,R27,X27,Y27)&lt;3,SUM(P27,R27,X27,Y27),SUM(LARGE((P27,R27,X27,Y27),{1;2;3}))))+(IF(COUNT(Q27,S27,U27,W27)&lt;3,SUM(Q27,S27,U27,W27),SUM(LARGE((Q27,S27,U27,W27),{1;2;3}))))+(IF(COUNT(T27,V27,Z27,AA27,AB27,AC27)&lt;4,SUM(T27,V27,Z27,AA27,AB27,AC27),SUM(LARGE((T27,V27,Z27,AA27,AB27,AC27),{1;2;3;4}))))</f>
        <v>116</v>
      </c>
      <c r="J27" s="475" t="str">
        <f ca="1">INDEX(ETAPP!B$1:B$32,MATCH(COUNTIF(P27:AC27,PIV!A$1),ETAPP!A$1:A$32,0))&amp;INDEX(ETAPP!B$1:B$32,MATCH(COUNTIF(P27:AC27,PIV!A$2),ETAPP!A$1:A$32,0))&amp;INDEX(ETAPP!B$1:B$32,MATCH(COUNTIF(P27:AC27,PIV!A$3),ETAPP!A$1:A$32,0))&amp;INDEX(ETAPP!B$1:B$32,MATCH(COUNTIF(P27:AC27,PIV!A$4),ETAPP!A$1:A$32,0))&amp;INDEX(ETAPP!B$1:B$32,MATCH(COUNTIF(P27:AC27,PIV!A$5),ETAPP!A$1:A$32,0))&amp;INDEX(ETAPP!B$1:B$32,MATCH(COUNTIF(P27:AC27,PIV!A$6),ETAPP!A$1:A$32,0))&amp;INDEX(ETAPP!B$1:B$32,MATCH(COUNTIF(P27:AC27,PIV!A$7),ETAPP!A$1:A$32,0))&amp;INDEX(ETAPP!B$1:B$32,MATCH(COUNTIF(P27:AC27,PIV!A$8),ETAPP!A$1:A$32,0))&amp;INDEX(ETAPP!B$1:B$32,MATCH(COUNTIF(P27:AC27,PIV!A$9),ETAPP!A$1:A$32,0))&amp;INDEX(ETAPP!B$1:B$32,MATCH(COUNTIF(P27:AC27,PIV!A$10),ETAPP!A$1:A$32,0))&amp;INDEX(ETAPP!B$1:B$32,MATCH(COUNTIF(P27:AC27,PIV!A$11),ETAPP!A$1:A$32,0))&amp;INDEX(ETAPP!B$1:B$32,MATCH(COUNTIF(P27:AC27,PIV!A$12),ETAPP!A$1:A$32,0))&amp;INDEX(ETAPP!B$1:B$32,MATCH(COUNTIF(P27:AC27,PIV!A$13),ETAPP!A$1:A$32,0))&amp;INDEX(ETAPP!B$1:B$32,MATCH(COUNTIF(P27:AC27,PIV!A$14),ETAPP!A$1:A$32,0))&amp;INDEX(ETAPP!B$1:B$32,MATCH(COUNTIF(P27:AC27,PIV!A$15),ETAPP!A$1:A$32,0))&amp;INDEX(ETAPP!B$1:B$32,MATCH(COUNTIF(P27:AC27,PIV!A$16),ETAPP!A$1:A$32,0))&amp;INDEX(ETAPP!B$1:B$32,MATCH(COUNTIF(P27:AC27,PIV!A$17),ETAPP!A$1:A$32,0))&amp;INDEX(ETAPP!B$1:B$32,MATCH(COUNTIF(P27:AC27,PIV!A$18),ETAPP!A$1:A$32,0))&amp;INDEX(ETAPP!B$1:B$32,MATCH(COUNTIF(P27:AC27,PIV!A$19),ETAPP!A$1:A$32,0))</f>
        <v>0AA00AA0000A000000D</v>
      </c>
      <c r="K27" s="475" t="str">
        <f t="shared" ca="1" si="2"/>
        <v>116,0-0AA00AA0000A000000D</v>
      </c>
      <c r="L27" s="476">
        <f ca="1">COUNTIF(K$8:K$64,"&gt;="&amp;K27)</f>
        <v>20</v>
      </c>
      <c r="M27" s="476">
        <f>COUNTIF(F$8:F$64,"&gt;="&amp;F27)</f>
        <v>47</v>
      </c>
      <c r="N27" s="475" t="str">
        <f t="shared" ca="1" si="3"/>
        <v>116,0-0AA00AA0000A000000D-047</v>
      </c>
      <c r="O27" s="477">
        <f ca="1">COUNTIF(N$8:N$64,"&lt;="&amp;N27)</f>
        <v>38</v>
      </c>
      <c r="P27" s="478" t="str">
        <f>IFERROR(INDEX('1'!C$300:C$400,MATCH("*"&amp;F27&amp;"*",'1'!B$300:B$400,0)),"  ")</f>
        <v xml:space="preserve">  </v>
      </c>
      <c r="Q27" s="479" t="str">
        <f>IFERROR(INDEX('2'!C$300:C$400,MATCH("*"&amp;F27&amp;"*",'2'!B$300:B$400,0)),"  ")</f>
        <v xml:space="preserve">  </v>
      </c>
      <c r="R27" s="479">
        <f>IFERROR(INDEX('3'!C$300:C$400,MATCH("*"&amp;F27&amp;"*",'3'!B$300:B$400,0)),"  ")</f>
        <v>20</v>
      </c>
      <c r="S27" s="479">
        <f>IFERROR(INDEX('4'!C$300:C$400,MATCH("*"&amp;F27&amp;"*",'4'!B$300:B$400,0)),"  ")</f>
        <v>34</v>
      </c>
      <c r="T27" s="479" t="str">
        <f>IFERROR(INDEX('5'!C$300:C$400,MATCH("*"&amp;F27&amp;"*",'5'!B$300:B$400,0)),"  ")</f>
        <v xml:space="preserve">  </v>
      </c>
      <c r="U27" s="479">
        <f>IFERROR(INDEX('6'!C$300:C$400,MATCH("*"&amp;F27&amp;"*",'6'!B$300:B$400,0)),"  ")</f>
        <v>10</v>
      </c>
      <c r="V27" s="479" t="str">
        <f ca="1">IFERROR(INDEX('7'!C$300:C$400,MATCH("*"&amp;F27&amp;"*",'7'!B$300:B$400,0)),"  ")</f>
        <v xml:space="preserve">  </v>
      </c>
      <c r="W27" s="479">
        <f>IFERROR(INDEX('8'!C$300:C$400,MATCH("*"&amp;F27&amp;"*",'8'!B$300:B$400,0)),"  ")</f>
        <v>22</v>
      </c>
      <c r="X27" s="479" t="str">
        <f>IFERROR(INDEX('9'!C$300:C$400,MATCH("*"&amp;F27&amp;"*",'9'!B$300:B$400,0)),"  ")</f>
        <v xml:space="preserve">  </v>
      </c>
      <c r="Y27" s="479" t="str">
        <f>IFERROR(INDEX('10'!C$300:C$400,MATCH("*"&amp;F27&amp;"*",'10'!B$300:B$400,0)),"  ")</f>
        <v xml:space="preserve">  </v>
      </c>
      <c r="Z27" s="478" t="str">
        <f>IFERROR(INDEX('11'!C$300:C$400,MATCH("*"&amp;F27&amp;"*",'11'!B$300:B$400,0)),"  ")</f>
        <v xml:space="preserve">  </v>
      </c>
      <c r="AA27" s="479" t="str">
        <f>IFERROR(INDEX('12'!C$300:C$400,MATCH("*"&amp;F27&amp;"*",'12'!B$300:B$400,0)),"  ")</f>
        <v xml:space="preserve">  </v>
      </c>
      <c r="AB27" s="479" t="str">
        <f>IFERROR(INDEX('13'!C$300:C$400,MATCH("*"&amp;F27&amp;"*",'13'!B$300:B$400,0)),"  ")</f>
        <v xml:space="preserve">  </v>
      </c>
      <c r="AC27" s="479">
        <f>IFERROR(INDEX('14'!C$300:C$400,MATCH("*"&amp;F27&amp;"*",'14'!B$300:B$400,0)),"  ")</f>
        <v>30</v>
      </c>
      <c r="AD27" s="481">
        <f t="shared" ca="1" si="4"/>
        <v>5</v>
      </c>
      <c r="AE27" s="481">
        <f t="shared" ca="1" si="5"/>
        <v>2</v>
      </c>
      <c r="AF27" s="481">
        <f t="shared" ca="1" si="6"/>
        <v>0</v>
      </c>
      <c r="AG27" s="482">
        <f t="shared" si="10"/>
        <v>1E-4</v>
      </c>
      <c r="AH27" s="482">
        <f t="shared" si="7"/>
        <v>2.0000000000000001E-4</v>
      </c>
      <c r="AI27" s="482">
        <f t="shared" ca="1" si="8"/>
        <v>5.0000000000000001E-4</v>
      </c>
      <c r="AJ27" s="482" t="e">
        <f t="shared" ca="1" si="9"/>
        <v>#VALUE!</v>
      </c>
      <c r="AK27" s="493"/>
    </row>
    <row r="28" spans="1:37" x14ac:dyDescent="0.2">
      <c r="A28" s="467" t="str">
        <f>IFERROR(RANK(B28,B$8:B$64,1),"")</f>
        <v/>
      </c>
      <c r="B28" s="468" t="str">
        <f t="shared" si="0"/>
        <v/>
      </c>
      <c r="C28" s="469" t="str">
        <f>IFERROR(RANK(D28,D$8:D$64,1),"")</f>
        <v/>
      </c>
      <c r="D28" s="470" t="str">
        <f t="shared" si="1"/>
        <v/>
      </c>
      <c r="E28" s="471">
        <f ca="1">RANK(L28,L$8:L$64,1)</f>
        <v>21</v>
      </c>
      <c r="F28" s="494" t="s">
        <v>241</v>
      </c>
      <c r="G28" s="472"/>
      <c r="H28" s="473"/>
      <c r="I28" s="474">
        <f ca="1">(IF(COUNT(P28,R28,X28,Y28)&lt;3,SUM(P28,R28,X28,Y28),SUM(LARGE((P28,R28,X28,Y28),{1;2;3}))))+(IF(COUNT(Q28,S28,U28,W28)&lt;3,SUM(Q28,S28,U28,W28),SUM(LARGE((Q28,S28,U28,W28),{1;2;3}))))+(IF(COUNT(T28,V28,Z28,AA28,AB28,AC28)&lt;4,SUM(T28,V28,Z28,AA28,AB28,AC28),SUM(LARGE((T28,V28,Z28,AA28,AB28,AC28),{1;2;3;4}))))</f>
        <v>95</v>
      </c>
      <c r="J28" s="475" t="str">
        <f ca="1">INDEX(ETAPP!B$1:B$32,MATCH(COUNTIF(P28:AC28,PIV!A$1),ETAPP!A$1:A$32,0))&amp;INDEX(ETAPP!B$1:B$32,MATCH(COUNTIF(P28:AC28,PIV!A$2),ETAPP!A$1:A$32,0))&amp;INDEX(ETAPP!B$1:B$32,MATCH(COUNTIF(P28:AC28,PIV!A$3),ETAPP!A$1:A$32,0))&amp;INDEX(ETAPP!B$1:B$32,MATCH(COUNTIF(P28:AC28,PIV!A$4),ETAPP!A$1:A$32,0))&amp;INDEX(ETAPP!B$1:B$32,MATCH(COUNTIF(P28:AC28,PIV!A$5),ETAPP!A$1:A$32,0))&amp;INDEX(ETAPP!B$1:B$32,MATCH(COUNTIF(P28:AC28,PIV!A$6),ETAPP!A$1:A$32,0))&amp;INDEX(ETAPP!B$1:B$32,MATCH(COUNTIF(P28:AC28,PIV!A$7),ETAPP!A$1:A$32,0))&amp;INDEX(ETAPP!B$1:B$32,MATCH(COUNTIF(P28:AC28,PIV!A$8),ETAPP!A$1:A$32,0))&amp;INDEX(ETAPP!B$1:B$32,MATCH(COUNTIF(P28:AC28,PIV!A$9),ETAPP!A$1:A$32,0))&amp;INDEX(ETAPP!B$1:B$32,MATCH(COUNTIF(P28:AC28,PIV!A$10),ETAPP!A$1:A$32,0))&amp;INDEX(ETAPP!B$1:B$32,MATCH(COUNTIF(P28:AC28,PIV!A$11),ETAPP!A$1:A$32,0))&amp;INDEX(ETAPP!B$1:B$32,MATCH(COUNTIF(P28:AC28,PIV!A$12),ETAPP!A$1:A$32,0))&amp;INDEX(ETAPP!B$1:B$32,MATCH(COUNTIF(P28:AC28,PIV!A$13),ETAPP!A$1:A$32,0))&amp;INDEX(ETAPP!B$1:B$32,MATCH(COUNTIF(P28:AC28,PIV!A$14),ETAPP!A$1:A$32,0))&amp;INDEX(ETAPP!B$1:B$32,MATCH(COUNTIF(P28:AC28,PIV!A$15),ETAPP!A$1:A$32,0))&amp;INDEX(ETAPP!B$1:B$32,MATCH(COUNTIF(P28:AC28,PIV!A$16),ETAPP!A$1:A$32,0))&amp;INDEX(ETAPP!B$1:B$32,MATCH(COUNTIF(P28:AC28,PIV!A$17),ETAPP!A$1:A$32,0))&amp;INDEX(ETAPP!B$1:B$32,MATCH(COUNTIF(P28:AC28,PIV!A$18),ETAPP!A$1:A$32,0))&amp;INDEX(ETAPP!B$1:B$32,MATCH(COUNTIF(P28:AC28,PIV!A$19),ETAPP!A$1:A$32,0))</f>
        <v>0A000B00000A0A00A0C</v>
      </c>
      <c r="K28" s="475" t="str">
        <f t="shared" ca="1" si="2"/>
        <v>095,0-0A000B00000A0A00A0C</v>
      </c>
      <c r="L28" s="476">
        <f ca="1">COUNTIF(K$8:K$64,"&gt;="&amp;K28)</f>
        <v>21</v>
      </c>
      <c r="M28" s="476">
        <f>COUNTIF(F$8:F$64,"&gt;="&amp;F28)</f>
        <v>10</v>
      </c>
      <c r="N28" s="475" t="str">
        <f t="shared" ca="1" si="3"/>
        <v>095,0-0A000B00000A0A00A0C-010</v>
      </c>
      <c r="O28" s="477">
        <f ca="1">COUNTIF(N$8:N$64,"&lt;="&amp;N28)</f>
        <v>37</v>
      </c>
      <c r="P28" s="478" t="str">
        <f>IFERROR(INDEX('1'!C$300:C$400,MATCH("*"&amp;F28&amp;"*",'1'!B$300:B$400,0)),"  ")</f>
        <v xml:space="preserve">  </v>
      </c>
      <c r="Q28" s="479" t="str">
        <f>IFERROR(INDEX('2'!C$300:C$400,MATCH("*"&amp;F28&amp;"*",'2'!B$300:B$400,0)),"  ")</f>
        <v xml:space="preserve">  </v>
      </c>
      <c r="R28" s="479" t="str">
        <f>IFERROR(INDEX('3'!C$300:C$400,MATCH("*"&amp;F28&amp;"*",'3'!B$300:B$400,0)),"  ")</f>
        <v xml:space="preserve">  </v>
      </c>
      <c r="S28" s="479">
        <f>IFERROR(INDEX('4'!C$300:C$400,MATCH("*"&amp;F28&amp;"*",'4'!B$300:B$400,0)),"  ")</f>
        <v>34</v>
      </c>
      <c r="T28" s="479" t="str">
        <f>IFERROR(INDEX('5'!C$300:C$400,MATCH("*"&amp;F28&amp;"*",'5'!B$300:B$400,0)),"  ")</f>
        <v xml:space="preserve">  </v>
      </c>
      <c r="U28" s="479">
        <f>IFERROR(INDEX('6'!C$300:C$400,MATCH("*"&amp;F28&amp;"*",'6'!B$300:B$400,0)),"  ")</f>
        <v>10</v>
      </c>
      <c r="V28" s="479" t="str">
        <f ca="1">IFERROR(INDEX('7'!C$300:C$400,MATCH("*"&amp;F28&amp;"*",'7'!B$300:B$400,0)),"  ")</f>
        <v xml:space="preserve">  </v>
      </c>
      <c r="W28" s="479">
        <f>IFERROR(INDEX('8'!C$300:C$400,MATCH("*"&amp;F28&amp;"*",'8'!B$300:B$400,0)),"  ")</f>
        <v>22</v>
      </c>
      <c r="X28" s="479">
        <f>IFERROR(INDEX('9'!C$300:C$400,MATCH("*"&amp;F28&amp;"*",'9'!B$300:B$400,0)),"  ")</f>
        <v>22</v>
      </c>
      <c r="Y28" s="479" t="str">
        <f>IFERROR(INDEX('10'!C$300:C$400,MATCH("*"&amp;F28&amp;"*",'10'!B$300:B$400,0)),"  ")</f>
        <v xml:space="preserve">  </v>
      </c>
      <c r="Z28" s="478" t="str">
        <f>IFERROR(INDEX('11'!C$300:C$400,MATCH("*"&amp;F28&amp;"*",'11'!B$300:B$400,0)),"  ")</f>
        <v xml:space="preserve">  </v>
      </c>
      <c r="AA28" s="479">
        <f>IFERROR(INDEX('12'!C$300:C$400,MATCH("*"&amp;F28&amp;"*",'12'!B$300:B$400,0)),"  ")</f>
        <v>6</v>
      </c>
      <c r="AB28" s="479" t="str">
        <f>IFERROR(INDEX('13'!C$300:C$400,MATCH("*"&amp;F28&amp;"*",'13'!B$300:B$400,0)),"  ")</f>
        <v xml:space="preserve">  </v>
      </c>
      <c r="AC28" s="479">
        <f>IFERROR(INDEX('14'!C$300:C$400,MATCH("*"&amp;F28&amp;"*",'14'!B$300:B$400,0)),"  ")</f>
        <v>1</v>
      </c>
      <c r="AD28" s="481">
        <f t="shared" ca="1" si="4"/>
        <v>6</v>
      </c>
      <c r="AE28" s="481">
        <f t="shared" ca="1" si="5"/>
        <v>1</v>
      </c>
      <c r="AF28" s="481">
        <f t="shared" ca="1" si="6"/>
        <v>0</v>
      </c>
      <c r="AG28" s="482">
        <f t="shared" si="10"/>
        <v>1E-4</v>
      </c>
      <c r="AH28" s="482">
        <f t="shared" si="7"/>
        <v>2.0000000000000001E-4</v>
      </c>
      <c r="AI28" s="482">
        <f t="shared" ca="1" si="8"/>
        <v>5.0000000000000001E-4</v>
      </c>
      <c r="AJ28" s="482" t="e">
        <f t="shared" ca="1" si="9"/>
        <v>#VALUE!</v>
      </c>
      <c r="AK28" s="412"/>
    </row>
    <row r="29" spans="1:37" x14ac:dyDescent="0.2">
      <c r="A29" s="467">
        <f ca="1">IFERROR(RANK(B29,B$8:B$64,1),"")</f>
        <v>2</v>
      </c>
      <c r="B29" s="468">
        <f t="shared" ca="1" si="0"/>
        <v>22</v>
      </c>
      <c r="C29" s="469" t="str">
        <f>IFERROR(RANK(D29,D$8:D$64,1),"")</f>
        <v/>
      </c>
      <c r="D29" s="470" t="str">
        <f t="shared" si="1"/>
        <v/>
      </c>
      <c r="E29" s="471">
        <f ca="1">RANK(L29,L$8:L$64,1)</f>
        <v>22</v>
      </c>
      <c r="F29" s="485" t="s">
        <v>242</v>
      </c>
      <c r="G29" s="472" t="s">
        <v>234</v>
      </c>
      <c r="H29" s="473"/>
      <c r="I29" s="474">
        <f ca="1">(IF(COUNT(P29,R29,X29,Y29)&lt;3,SUM(P29,R29,X29,Y29),SUM(LARGE((P29,R29,X29,Y29),{1;2;3}))))+(IF(COUNT(Q29,S29,U29,W29)&lt;3,SUM(Q29,S29,U29,W29),SUM(LARGE((Q29,S29,U29,W29),{1;2;3}))))+(IF(COUNT(T29,V29,Z29,AA29,AB29,AC29)&lt;4,SUM(T29,V29,Z29,AA29,AB29,AC29),SUM(LARGE((T29,V29,Z29,AA29,AB29,AC29),{1;2;3;4}))))</f>
        <v>89</v>
      </c>
      <c r="J29" s="475" t="str">
        <f ca="1">INDEX(ETAPP!B$1:B$32,MATCH(COUNTIF(P29:AC29,PIV!A$1),ETAPP!A$1:A$32,0))&amp;INDEX(ETAPP!B$1:B$32,MATCH(COUNTIF(P29:AC29,PIV!A$2),ETAPP!A$1:A$32,0))&amp;INDEX(ETAPP!B$1:B$32,MATCH(COUNTIF(P29:AC29,PIV!A$3),ETAPP!A$1:A$32,0))&amp;INDEX(ETAPP!B$1:B$32,MATCH(COUNTIF(P29:AC29,PIV!A$4),ETAPP!A$1:A$32,0))&amp;INDEX(ETAPP!B$1:B$32,MATCH(COUNTIF(P29:AC29,PIV!A$5),ETAPP!A$1:A$32,0))&amp;INDEX(ETAPP!B$1:B$32,MATCH(COUNTIF(P29:AC29,PIV!A$6),ETAPP!A$1:A$32,0))&amp;INDEX(ETAPP!B$1:B$32,MATCH(COUNTIF(P29:AC29,PIV!A$7),ETAPP!A$1:A$32,0))&amp;INDEX(ETAPP!B$1:B$32,MATCH(COUNTIF(P29:AC29,PIV!A$8),ETAPP!A$1:A$32,0))&amp;INDEX(ETAPP!B$1:B$32,MATCH(COUNTIF(P29:AC29,PIV!A$9),ETAPP!A$1:A$32,0))&amp;INDEX(ETAPP!B$1:B$32,MATCH(COUNTIF(P29:AC29,PIV!A$10),ETAPP!A$1:A$32,0))&amp;INDEX(ETAPP!B$1:B$32,MATCH(COUNTIF(P29:AC29,PIV!A$11),ETAPP!A$1:A$32,0))&amp;INDEX(ETAPP!B$1:B$32,MATCH(COUNTIF(P29:AC29,PIV!A$12),ETAPP!A$1:A$32,0))&amp;INDEX(ETAPP!B$1:B$32,MATCH(COUNTIF(P29:AC29,PIV!A$13),ETAPP!A$1:A$32,0))&amp;INDEX(ETAPP!B$1:B$32,MATCH(COUNTIF(P29:AC29,PIV!A$14),ETAPP!A$1:A$32,0))&amp;INDEX(ETAPP!B$1:B$32,MATCH(COUNTIF(P29:AC29,PIV!A$15),ETAPP!A$1:A$32,0))&amp;INDEX(ETAPP!B$1:B$32,MATCH(COUNTIF(P29:AC29,PIV!A$16),ETAPP!A$1:A$32,0))&amp;INDEX(ETAPP!B$1:B$32,MATCH(COUNTIF(P29:AC29,PIV!A$17),ETAPP!A$1:A$32,0))&amp;INDEX(ETAPP!B$1:B$32,MATCH(COUNTIF(P29:AC29,PIV!A$18),ETAPP!A$1:A$32,0))&amp;INDEX(ETAPP!B$1:B$32,MATCH(COUNTIF(P29:AC29,PIV!A$19),ETAPP!A$1:A$32,0))</f>
        <v>000AA0A00A0000A0A0C</v>
      </c>
      <c r="K29" s="475" t="str">
        <f t="shared" ca="1" si="2"/>
        <v>089,0-000AA0A00A0000A0A0C</v>
      </c>
      <c r="L29" s="476">
        <f ca="1">COUNTIF(K$8:K$64,"&gt;="&amp;K29)</f>
        <v>22</v>
      </c>
      <c r="M29" s="476">
        <f>COUNTIF(F$8:F$64,"&gt;="&amp;F29)</f>
        <v>26</v>
      </c>
      <c r="N29" s="475" t="str">
        <f t="shared" ca="1" si="3"/>
        <v>089,0-000AA0A00A0000A0A0C-026</v>
      </c>
      <c r="O29" s="477">
        <f ca="1">COUNTIF(N$8:N$64,"&lt;="&amp;N29)</f>
        <v>36</v>
      </c>
      <c r="P29" s="478" t="str">
        <f>IFERROR(INDEX('1'!C$300:C$400,MATCH("*"&amp;F29&amp;"*",'1'!B$300:B$400,0)),"  ")</f>
        <v xml:space="preserve">  </v>
      </c>
      <c r="Q29" s="479">
        <f>IFERROR(INDEX('2'!C$300:C$400,MATCH("*"&amp;F29&amp;"*",'2'!B$300:B$400,0)),"  ")</f>
        <v>14</v>
      </c>
      <c r="R29" s="479">
        <f>IFERROR(INDEX('3'!C$300:C$400,MATCH("*"&amp;F29&amp;"*",'3'!B$300:B$400,0)),"  ")</f>
        <v>26</v>
      </c>
      <c r="S29" s="479" t="str">
        <f>IFERROR(INDEX('4'!C$300:C$400,MATCH("*"&amp;F29&amp;"*",'4'!B$300:B$400,0)),"  ")</f>
        <v xml:space="preserve">  </v>
      </c>
      <c r="T29" s="479">
        <f>IFERROR(INDEX('5'!C$300:C$400,MATCH("*"&amp;F29&amp;"*",'5'!B$300:B$400,0)),"  ")</f>
        <v>1</v>
      </c>
      <c r="U29" s="479">
        <f>IFERROR(INDEX('6'!C$300:C$400,MATCH("*"&amp;F29&amp;"*",'6'!B$300:B$400,0)),"  ")</f>
        <v>24</v>
      </c>
      <c r="V29" s="479" t="str">
        <f ca="1">IFERROR(INDEX('7'!C$300:C$400,MATCH("*"&amp;F29&amp;"*",'7'!B$300:B$400,0)),"  ")</f>
        <v xml:space="preserve">  </v>
      </c>
      <c r="W29" s="479" t="str">
        <f>IFERROR(INDEX('8'!C$300:C$400,MATCH("*"&amp;F29&amp;"*",'8'!B$300:B$400,0)),"  ")</f>
        <v xml:space="preserve">  </v>
      </c>
      <c r="X29" s="479">
        <f>IFERROR(INDEX('9'!C$300:C$400,MATCH("*"&amp;F29&amp;"*",'9'!B$300:B$400,0)),"  ")</f>
        <v>20</v>
      </c>
      <c r="Y29" s="479" t="str">
        <f>IFERROR(INDEX('10'!C$300:C$400,MATCH("*"&amp;F29&amp;"*",'10'!B$300:B$400,0)),"  ")</f>
        <v xml:space="preserve">  </v>
      </c>
      <c r="Z29" s="478">
        <f>IFERROR(INDEX('11'!C$300:C$400,MATCH("*"&amp;F29&amp;"*",'11'!B$300:B$400,0)),"  ")</f>
        <v>4</v>
      </c>
      <c r="AA29" s="479" t="str">
        <f>IFERROR(INDEX('12'!C$300:C$400,MATCH("*"&amp;F29&amp;"*",'12'!B$300:B$400,0)),"  ")</f>
        <v xml:space="preserve">  </v>
      </c>
      <c r="AB29" s="479" t="str">
        <f>IFERROR(INDEX('13'!C$300:C$400,MATCH("*"&amp;F29&amp;"*",'13'!B$300:B$400,0)),"  ")</f>
        <v xml:space="preserve">  </v>
      </c>
      <c r="AC29" s="479" t="str">
        <f>IFERROR(INDEX('14'!C$300:C$400,MATCH("*"&amp;F29&amp;"*",'14'!B$300:B$400,0)),"  ")</f>
        <v xml:space="preserve">  </v>
      </c>
      <c r="AD29" s="481">
        <f t="shared" ca="1" si="4"/>
        <v>6</v>
      </c>
      <c r="AE29" s="481">
        <f t="shared" ca="1" si="5"/>
        <v>0</v>
      </c>
      <c r="AF29" s="481">
        <f t="shared" ca="1" si="6"/>
        <v>0</v>
      </c>
      <c r="AG29" s="482">
        <f t="shared" si="10"/>
        <v>1E-4</v>
      </c>
      <c r="AH29" s="482">
        <f t="shared" si="7"/>
        <v>4.0000000000000002E-4</v>
      </c>
      <c r="AI29" s="482">
        <f t="shared" ca="1" si="8"/>
        <v>6.9999999999999999E-4</v>
      </c>
      <c r="AJ29" s="482">
        <f t="shared" ca="1" si="9"/>
        <v>1.1999999999999999E-3</v>
      </c>
      <c r="AK29" s="412"/>
    </row>
    <row r="30" spans="1:37" x14ac:dyDescent="0.2">
      <c r="A30" s="467" t="str">
        <f>IFERROR(RANK(B30,B$8:B$64,1),"")</f>
        <v/>
      </c>
      <c r="B30" s="468" t="str">
        <f t="shared" si="0"/>
        <v/>
      </c>
      <c r="C30" s="469" t="str">
        <f>IFERROR(RANK(D30,D$8:D$64,1),"")</f>
        <v/>
      </c>
      <c r="D30" s="470" t="str">
        <f t="shared" si="1"/>
        <v/>
      </c>
      <c r="E30" s="471">
        <f ca="1">RANK(L30,L$8:L$64,1)</f>
        <v>23</v>
      </c>
      <c r="F30" s="432" t="s">
        <v>243</v>
      </c>
      <c r="G30" s="472"/>
      <c r="H30" s="473"/>
      <c r="I30" s="474">
        <f ca="1">(IF(COUNT(P30,R30,X30,Y30)&lt;3,SUM(P30,R30,X30,Y30),SUM(LARGE((P30,R30,X30,Y30),{1;2;3}))))+(IF(COUNT(Q30,S30,U30,W30)&lt;3,SUM(Q30,S30,U30,W30),SUM(LARGE((Q30,S30,U30,W30),{1;2;3}))))+(IF(COUNT(T30,V30,Z30,AA30,AB30,AC30)&lt;4,SUM(T30,V30,Z30,AA30,AB30,AC30),SUM(LARGE((T30,V30,Z30,AA30,AB30,AC30),{1;2;3;4}))))</f>
        <v>87</v>
      </c>
      <c r="J30" s="475" t="str">
        <f ca="1">INDEX(ETAPP!B$1:B$32,MATCH(COUNTIF(P30:AC30,PIV!A$1),ETAPP!A$1:A$32,0))&amp;INDEX(ETAPP!B$1:B$32,MATCH(COUNTIF(P30:AC30,PIV!A$2),ETAPP!A$1:A$32,0))&amp;INDEX(ETAPP!B$1:B$32,MATCH(COUNTIF(P30:AC30,PIV!A$3),ETAPP!A$1:A$32,0))&amp;INDEX(ETAPP!B$1:B$32,MATCH(COUNTIF(P30:AC30,PIV!A$4),ETAPP!A$1:A$32,0))&amp;INDEX(ETAPP!B$1:B$32,MATCH(COUNTIF(P30:AC30,PIV!A$5),ETAPP!A$1:A$32,0))&amp;INDEX(ETAPP!B$1:B$32,MATCH(COUNTIF(P30:AC30,PIV!A$6),ETAPP!A$1:A$32,0))&amp;INDEX(ETAPP!B$1:B$32,MATCH(COUNTIF(P30:AC30,PIV!A$7),ETAPP!A$1:A$32,0))&amp;INDEX(ETAPP!B$1:B$32,MATCH(COUNTIF(P30:AC30,PIV!A$8),ETAPP!A$1:A$32,0))&amp;INDEX(ETAPP!B$1:B$32,MATCH(COUNTIF(P30:AC30,PIV!A$9),ETAPP!A$1:A$32,0))&amp;INDEX(ETAPP!B$1:B$32,MATCH(COUNTIF(P30:AC30,PIV!A$10),ETAPP!A$1:A$32,0))&amp;INDEX(ETAPP!B$1:B$32,MATCH(COUNTIF(P30:AC30,PIV!A$11),ETAPP!A$1:A$32,0))&amp;INDEX(ETAPP!B$1:B$32,MATCH(COUNTIF(P30:AC30,PIV!A$12),ETAPP!A$1:A$32,0))&amp;INDEX(ETAPP!B$1:B$32,MATCH(COUNTIF(P30:AC30,PIV!A$13),ETAPP!A$1:A$32,0))&amp;INDEX(ETAPP!B$1:B$32,MATCH(COUNTIF(P30:AC30,PIV!A$14),ETAPP!A$1:A$32,0))&amp;INDEX(ETAPP!B$1:B$32,MATCH(COUNTIF(P30:AC30,PIV!A$15),ETAPP!A$1:A$32,0))&amp;INDEX(ETAPP!B$1:B$32,MATCH(COUNTIF(P30:AC30,PIV!A$16),ETAPP!A$1:A$32,0))&amp;INDEX(ETAPP!B$1:B$32,MATCH(COUNTIF(P30:AC30,PIV!A$17),ETAPP!A$1:A$32,0))&amp;INDEX(ETAPP!B$1:B$32,MATCH(COUNTIF(P30:AC30,PIV!A$18),ETAPP!A$1:A$32,0))&amp;INDEX(ETAPP!B$1:B$32,MATCH(COUNTIF(P30:AC30,PIV!A$19),ETAPP!A$1:A$32,0))</f>
        <v>A0000000B000000000E</v>
      </c>
      <c r="K30" s="475" t="str">
        <f t="shared" ca="1" si="2"/>
        <v>087,0-A0000000B000000000E</v>
      </c>
      <c r="L30" s="476">
        <f ca="1">COUNTIF(K$8:K$64,"&gt;="&amp;K30)</f>
        <v>23</v>
      </c>
      <c r="M30" s="476">
        <f>COUNTIF(F$8:F$64,"&gt;="&amp;F30)</f>
        <v>40</v>
      </c>
      <c r="N30" s="475" t="str">
        <f t="shared" ca="1" si="3"/>
        <v>087,0-A0000000B000000000E-040</v>
      </c>
      <c r="O30" s="477">
        <f ca="1">COUNTIF(N$8:N$64,"&lt;="&amp;N30)</f>
        <v>35</v>
      </c>
      <c r="P30" s="478" t="str">
        <f>IFERROR(INDEX('1'!C$300:C$400,MATCH("*"&amp;F30&amp;"*",'1'!B$300:B$400,0)),"  ")</f>
        <v xml:space="preserve">  </v>
      </c>
      <c r="Q30" s="479" t="str">
        <f>IFERROR(INDEX('2'!C$300:C$400,MATCH("*"&amp;F30&amp;"*",'2'!B$300:B$400,0)),"  ")</f>
        <v xml:space="preserve">  </v>
      </c>
      <c r="R30" s="479" t="str">
        <f>IFERROR(INDEX('3'!C$300:C$400,MATCH("*"&amp;F30&amp;"*",'3'!B$300:B$400,0)),"  ")</f>
        <v xml:space="preserve">  </v>
      </c>
      <c r="S30" s="479" t="str">
        <f>IFERROR(INDEX('4'!C$300:C$400,MATCH("*"&amp;F30&amp;"*",'4'!B$300:B$400,0)),"  ")</f>
        <v xml:space="preserve">  </v>
      </c>
      <c r="T30" s="479" t="str">
        <f>IFERROR(INDEX('5'!C$300:C$400,MATCH("*"&amp;F30&amp;"*",'5'!B$300:B$400,0)),"  ")</f>
        <v xml:space="preserve">  </v>
      </c>
      <c r="U30" s="479">
        <f>IFERROR(INDEX('6'!C$300:C$400,MATCH("*"&amp;F30&amp;"*",'6'!B$300:B$400,0)),"  ")</f>
        <v>16</v>
      </c>
      <c r="V30" s="479">
        <f ca="1">IFERROR(INDEX('7'!C$300:C$400,MATCH("*"&amp;F30&amp;"*",'7'!B$300:B$400,0)),"  ")</f>
        <v>15</v>
      </c>
      <c r="W30" s="479">
        <f>IFERROR(INDEX('8'!C$300:C$400,MATCH("*"&amp;F30&amp;"*",'8'!B$300:B$400,0)),"  ")</f>
        <v>16</v>
      </c>
      <c r="X30" s="479" t="str">
        <f>IFERROR(INDEX('9'!C$300:C$400,MATCH("*"&amp;F30&amp;"*",'9'!B$300:B$400,0)),"  ")</f>
        <v xml:space="preserve">  </v>
      </c>
      <c r="Y30" s="479">
        <f>IFERROR(INDEX('10'!C$300:C$400,MATCH("*"&amp;F30&amp;"*",'10'!B$300:B$400,0)),"  ")</f>
        <v>40</v>
      </c>
      <c r="Z30" s="478" t="str">
        <f>IFERROR(INDEX('11'!C$300:C$400,MATCH("*"&amp;F30&amp;"*",'11'!B$300:B$400,0)),"  ")</f>
        <v xml:space="preserve">  </v>
      </c>
      <c r="AA30" s="479" t="str">
        <f>IFERROR(INDEX('12'!C$300:C$400,MATCH("*"&amp;F30&amp;"*",'12'!B$300:B$400,0)),"  ")</f>
        <v xml:space="preserve">  </v>
      </c>
      <c r="AB30" s="479" t="str">
        <f>IFERROR(INDEX('13'!C$300:C$400,MATCH("*"&amp;F30&amp;"*",'13'!B$300:B$400,0)),"  ")</f>
        <v xml:space="preserve">  </v>
      </c>
      <c r="AC30" s="479" t="str">
        <f>IFERROR(INDEX('14'!C$300:C$400,MATCH("*"&amp;F30&amp;"*",'14'!B$300:B$400,0)),"  ")</f>
        <v xml:space="preserve">  </v>
      </c>
      <c r="AD30" s="481">
        <f t="shared" ca="1" si="4"/>
        <v>4</v>
      </c>
      <c r="AE30" s="481">
        <f t="shared" ca="1" si="5"/>
        <v>1</v>
      </c>
      <c r="AF30" s="481">
        <f t="shared" ca="1" si="6"/>
        <v>1</v>
      </c>
      <c r="AG30" s="482">
        <f t="shared" si="10"/>
        <v>1E-4</v>
      </c>
      <c r="AH30" s="482">
        <f t="shared" si="7"/>
        <v>2.0000000000000001E-4</v>
      </c>
      <c r="AI30" s="482">
        <f t="shared" ca="1" si="8"/>
        <v>5.0000000000000001E-4</v>
      </c>
      <c r="AJ30" s="482">
        <f t="shared" ca="1" si="9"/>
        <v>1.1000000000000001E-3</v>
      </c>
      <c r="AK30" s="412"/>
    </row>
    <row r="31" spans="1:37" x14ac:dyDescent="0.2">
      <c r="A31" s="467" t="str">
        <f>IFERROR(RANK(B31,B$8:B$64,1),"")</f>
        <v/>
      </c>
      <c r="B31" s="468" t="str">
        <f t="shared" si="0"/>
        <v/>
      </c>
      <c r="C31" s="469" t="str">
        <f>IFERROR(RANK(D31,D$8:D$64,1),"")</f>
        <v/>
      </c>
      <c r="D31" s="470" t="str">
        <f t="shared" si="1"/>
        <v/>
      </c>
      <c r="E31" s="471">
        <f ca="1">RANK(L31,L$8:L$64,1)</f>
        <v>24</v>
      </c>
      <c r="F31" s="484" t="s">
        <v>15</v>
      </c>
      <c r="G31" s="472"/>
      <c r="H31" s="473"/>
      <c r="I31" s="474">
        <f ca="1">(IF(COUNT(P31,R31,X31,Y31)&lt;3,SUM(P31,R31,X31,Y31),SUM(LARGE((P31,R31,X31,Y31),{1;2;3}))))+(IF(COUNT(Q31,S31,U31,W31)&lt;3,SUM(Q31,S31,U31,W31),SUM(LARGE((Q31,S31,U31,W31),{1;2;3}))))+(IF(COUNT(T31,V31,Z31,AA31,AB31,AC31)&lt;4,SUM(T31,V31,Z31,AA31,AB31,AC31),SUM(LARGE((T31,V31,Z31,AA31,AB31,AC31),{1;2;3;4}))))</f>
        <v>86</v>
      </c>
      <c r="J31" s="475" t="str">
        <f ca="1">INDEX(ETAPP!B$1:B$32,MATCH(COUNTIF(P31:AC31,PIV!A$1),ETAPP!A$1:A$32,0))&amp;INDEX(ETAPP!B$1:B$32,MATCH(COUNTIF(P31:AC31,PIV!A$2),ETAPP!A$1:A$32,0))&amp;INDEX(ETAPP!B$1:B$32,MATCH(COUNTIF(P31:AC31,PIV!A$3),ETAPP!A$1:A$32,0))&amp;INDEX(ETAPP!B$1:B$32,MATCH(COUNTIF(P31:AC31,PIV!A$4),ETAPP!A$1:A$32,0))&amp;INDEX(ETAPP!B$1:B$32,MATCH(COUNTIF(P31:AC31,PIV!A$5),ETAPP!A$1:A$32,0))&amp;INDEX(ETAPP!B$1:B$32,MATCH(COUNTIF(P31:AC31,PIV!A$6),ETAPP!A$1:A$32,0))&amp;INDEX(ETAPP!B$1:B$32,MATCH(COUNTIF(P31:AC31,PIV!A$7),ETAPP!A$1:A$32,0))&amp;INDEX(ETAPP!B$1:B$32,MATCH(COUNTIF(P31:AC31,PIV!A$8),ETAPP!A$1:A$32,0))&amp;INDEX(ETAPP!B$1:B$32,MATCH(COUNTIF(P31:AC31,PIV!A$9),ETAPP!A$1:A$32,0))&amp;INDEX(ETAPP!B$1:B$32,MATCH(COUNTIF(P31:AC31,PIV!A$10),ETAPP!A$1:A$32,0))&amp;INDEX(ETAPP!B$1:B$32,MATCH(COUNTIF(P31:AC31,PIV!A$11),ETAPP!A$1:A$32,0))&amp;INDEX(ETAPP!B$1:B$32,MATCH(COUNTIF(P31:AC31,PIV!A$12),ETAPP!A$1:A$32,0))&amp;INDEX(ETAPP!B$1:B$32,MATCH(COUNTIF(P31:AC31,PIV!A$13),ETAPP!A$1:A$32,0))&amp;INDEX(ETAPP!B$1:B$32,MATCH(COUNTIF(P31:AC31,PIV!A$14),ETAPP!A$1:A$32,0))&amp;INDEX(ETAPP!B$1:B$32,MATCH(COUNTIF(P31:AC31,PIV!A$15),ETAPP!A$1:A$32,0))&amp;INDEX(ETAPP!B$1:B$32,MATCH(COUNTIF(P31:AC31,PIV!A$16),ETAPP!A$1:A$32,0))&amp;INDEX(ETAPP!B$1:B$32,MATCH(COUNTIF(P31:AC31,PIV!A$17),ETAPP!A$1:A$32,0))&amp;INDEX(ETAPP!B$1:B$32,MATCH(COUNTIF(P31:AC31,PIV!A$18),ETAPP!A$1:A$32,0))&amp;INDEX(ETAPP!B$1:B$32,MATCH(COUNTIF(P31:AC31,PIV!A$19),ETAPP!A$1:A$32,0))</f>
        <v>00000AAAA00A000000D</v>
      </c>
      <c r="K31" s="475" t="str">
        <f t="shared" ca="1" si="2"/>
        <v>086,0-00000AAAA00A000000D</v>
      </c>
      <c r="L31" s="476">
        <f ca="1">COUNTIF(K$8:K$64,"&gt;="&amp;K31)</f>
        <v>24</v>
      </c>
      <c r="M31" s="476">
        <f>COUNTIF(F$8:F$64,"&gt;="&amp;F31)</f>
        <v>41</v>
      </c>
      <c r="N31" s="475" t="str">
        <f t="shared" ca="1" si="3"/>
        <v>086,0-00000AAAA00A000000D-041</v>
      </c>
      <c r="O31" s="477">
        <f ca="1">COUNTIF(N$8:N$64,"&lt;="&amp;N31)</f>
        <v>34</v>
      </c>
      <c r="P31" s="478" t="str">
        <f>IFERROR(INDEX('1'!C$300:C$400,MATCH("*"&amp;F31&amp;"*",'1'!B$300:B$400,0)),"  ")</f>
        <v xml:space="preserve">  </v>
      </c>
      <c r="Q31" s="479">
        <f>IFERROR(INDEX('2'!C$300:C$400,MATCH("*"&amp;F31&amp;"*",'2'!B$300:B$400,0)),"  ")</f>
        <v>16</v>
      </c>
      <c r="R31" s="479">
        <f>IFERROR(INDEX('3'!C$300:C$400,MATCH("*"&amp;F31&amp;"*",'3'!B$300:B$400,0)),"  ")</f>
        <v>20</v>
      </c>
      <c r="S31" s="479">
        <f>IFERROR(INDEX('4'!C$300:C$400,MATCH("*"&amp;F31&amp;"*",'4'!B$300:B$400,0)),"  ")</f>
        <v>10</v>
      </c>
      <c r="T31" s="479" t="str">
        <f>IFERROR(INDEX('5'!C$300:C$400,MATCH("*"&amp;F31&amp;"*",'5'!B$300:B$400,0)),"  ")</f>
        <v xml:space="preserve">  </v>
      </c>
      <c r="U31" s="479">
        <f>IFERROR(INDEX('6'!C$300:C$400,MATCH("*"&amp;F31&amp;"*",'6'!B$300:B$400,0)),"  ")</f>
        <v>18</v>
      </c>
      <c r="V31" s="479" t="str">
        <f ca="1">IFERROR(INDEX('7'!C$300:C$400,MATCH("*"&amp;F31&amp;"*",'7'!B$300:B$400,0)),"  ")</f>
        <v xml:space="preserve">  </v>
      </c>
      <c r="W31" s="479" t="str">
        <f>IFERROR(INDEX('8'!C$300:C$400,MATCH("*"&amp;F31&amp;"*",'8'!B$300:B$400,0)),"  ")</f>
        <v xml:space="preserve">  </v>
      </c>
      <c r="X31" s="479">
        <f>IFERROR(INDEX('9'!C$300:C$400,MATCH("*"&amp;F31&amp;"*",'9'!B$300:B$400,0)),"  ")</f>
        <v>22</v>
      </c>
      <c r="Y31" s="479" t="str">
        <f>IFERROR(INDEX('10'!C$300:C$400,MATCH("*"&amp;F31&amp;"*",'10'!B$300:B$400,0)),"  ")</f>
        <v xml:space="preserve">  </v>
      </c>
      <c r="Z31" s="478" t="str">
        <f>IFERROR(INDEX('11'!C$300:C$400,MATCH("*"&amp;F31&amp;"*",'11'!B$300:B$400,0)),"  ")</f>
        <v xml:space="preserve">  </v>
      </c>
      <c r="AA31" s="479" t="str">
        <f>IFERROR(INDEX('12'!C$300:C$400,MATCH("*"&amp;F31&amp;"*",'12'!B$300:B$400,0)),"  ")</f>
        <v xml:space="preserve">  </v>
      </c>
      <c r="AB31" s="479" t="str">
        <f>IFERROR(INDEX('13'!C$300:C$400,MATCH("*"&amp;F31&amp;"*",'13'!B$300:B$400,0)),"  ")</f>
        <v xml:space="preserve">  </v>
      </c>
      <c r="AC31" s="479" t="str">
        <f>IFERROR(INDEX('14'!C$300:C$400,MATCH("*"&amp;F31&amp;"*",'14'!B$300:B$400,0)),"  ")</f>
        <v xml:space="preserve">  </v>
      </c>
      <c r="AD31" s="481">
        <f t="shared" ca="1" si="4"/>
        <v>5</v>
      </c>
      <c r="AE31" s="481">
        <f t="shared" ca="1" si="5"/>
        <v>0</v>
      </c>
      <c r="AF31" s="481">
        <f t="shared" ca="1" si="6"/>
        <v>0</v>
      </c>
      <c r="AG31" s="482">
        <f t="shared" si="10"/>
        <v>1E-4</v>
      </c>
      <c r="AH31" s="482">
        <f t="shared" si="7"/>
        <v>8.0000000000000004E-4</v>
      </c>
      <c r="AI31" s="482">
        <f t="shared" ca="1" si="8"/>
        <v>5.0000000000000001E-4</v>
      </c>
      <c r="AJ31" s="482" t="e">
        <f t="shared" ca="1" si="9"/>
        <v>#VALUE!</v>
      </c>
      <c r="AK31" s="412"/>
    </row>
    <row r="32" spans="1:37" x14ac:dyDescent="0.2">
      <c r="A32" s="467" t="str">
        <f>IFERROR(RANK(B32,B$8:B$64,1),"")</f>
        <v/>
      </c>
      <c r="B32" s="468" t="str">
        <f t="shared" si="0"/>
        <v/>
      </c>
      <c r="C32" s="469" t="str">
        <f>IFERROR(RANK(D32,D$8:D$64,1),"")</f>
        <v/>
      </c>
      <c r="D32" s="470" t="str">
        <f t="shared" si="1"/>
        <v/>
      </c>
      <c r="E32" s="471">
        <f ca="1">RANK(L32,L$8:L$64,1)</f>
        <v>25</v>
      </c>
      <c r="F32" s="432" t="s">
        <v>244</v>
      </c>
      <c r="G32" s="472"/>
      <c r="H32" s="473"/>
      <c r="I32" s="474">
        <f ca="1">(IF(COUNT(P32,R32,X32,Y32)&lt;3,SUM(P32,R32,X32,Y32),SUM(LARGE((P32,R32,X32,Y32),{1;2;3}))))+(IF(COUNT(Q32,S32,U32,W32)&lt;3,SUM(Q32,S32,U32,W32),SUM(LARGE((Q32,S32,U32,W32),{1;2;3}))))+(IF(COUNT(T32,V32,Z32,AA32,AB32,AC32)&lt;4,SUM(T32,V32,Z32,AA32,AB32,AC32),SUM(LARGE((T32,V32,Z32,AA32,AB32,AC32),{1;2;3;4}))))</f>
        <v>80</v>
      </c>
      <c r="J32" s="475" t="str">
        <f ca="1">INDEX(ETAPP!B$1:B$32,MATCH(COUNTIF(P32:AC32,PIV!A$1),ETAPP!A$1:A$32,0))&amp;INDEX(ETAPP!B$1:B$32,MATCH(COUNTIF(P32:AC32,PIV!A$2),ETAPP!A$1:A$32,0))&amp;INDEX(ETAPP!B$1:B$32,MATCH(COUNTIF(P32:AC32,PIV!A$3),ETAPP!A$1:A$32,0))&amp;INDEX(ETAPP!B$1:B$32,MATCH(COUNTIF(P32:AC32,PIV!A$4),ETAPP!A$1:A$32,0))&amp;INDEX(ETAPP!B$1:B$32,MATCH(COUNTIF(P32:AC32,PIV!A$5),ETAPP!A$1:A$32,0))&amp;INDEX(ETAPP!B$1:B$32,MATCH(COUNTIF(P32:AC32,PIV!A$6),ETAPP!A$1:A$32,0))&amp;INDEX(ETAPP!B$1:B$32,MATCH(COUNTIF(P32:AC32,PIV!A$7),ETAPP!A$1:A$32,0))&amp;INDEX(ETAPP!B$1:B$32,MATCH(COUNTIF(P32:AC32,PIV!A$8),ETAPP!A$1:A$32,0))&amp;INDEX(ETAPP!B$1:B$32,MATCH(COUNTIF(P32:AC32,PIV!A$9),ETAPP!A$1:A$32,0))&amp;INDEX(ETAPP!B$1:B$32,MATCH(COUNTIF(P32:AC32,PIV!A$10),ETAPP!A$1:A$32,0))&amp;INDEX(ETAPP!B$1:B$32,MATCH(COUNTIF(P32:AC32,PIV!A$11),ETAPP!A$1:A$32,0))&amp;INDEX(ETAPP!B$1:B$32,MATCH(COUNTIF(P32:AC32,PIV!A$12),ETAPP!A$1:A$32,0))&amp;INDEX(ETAPP!B$1:B$32,MATCH(COUNTIF(P32:AC32,PIV!A$13),ETAPP!A$1:A$32,0))&amp;INDEX(ETAPP!B$1:B$32,MATCH(COUNTIF(P32:AC32,PIV!A$14),ETAPP!A$1:A$32,0))&amp;INDEX(ETAPP!B$1:B$32,MATCH(COUNTIF(P32:AC32,PIV!A$15),ETAPP!A$1:A$32,0))&amp;INDEX(ETAPP!B$1:B$32,MATCH(COUNTIF(P32:AC32,PIV!A$16),ETAPP!A$1:A$32,0))&amp;INDEX(ETAPP!B$1:B$32,MATCH(COUNTIF(P32:AC32,PIV!A$17),ETAPP!A$1:A$32,0))&amp;INDEX(ETAPP!B$1:B$32,MATCH(COUNTIF(P32:AC32,PIV!A$18),ETAPP!A$1:A$32,0))&amp;INDEX(ETAPP!B$1:B$32,MATCH(COUNTIF(P32:AC32,PIV!A$19),ETAPP!A$1:A$32,0))</f>
        <v>0000AA0000AB0000B0G</v>
      </c>
      <c r="K32" s="475" t="str">
        <f t="shared" ca="1" si="2"/>
        <v>080,0-0000AA0000AB0000B0G</v>
      </c>
      <c r="L32" s="476">
        <f ca="1">COUNTIF(K$8:K$64,"&gt;="&amp;K32)</f>
        <v>25</v>
      </c>
      <c r="M32" s="476">
        <f>COUNTIF(F$8:F$64,"&gt;="&amp;F32)</f>
        <v>48</v>
      </c>
      <c r="N32" s="475" t="str">
        <f t="shared" ca="1" si="3"/>
        <v>080,0-0000AA0000AB0000B0G-048</v>
      </c>
      <c r="O32" s="477">
        <f ca="1">COUNTIF(N$8:N$64,"&lt;="&amp;N32)</f>
        <v>33</v>
      </c>
      <c r="P32" s="478" t="str">
        <f>IFERROR(INDEX('1'!C$300:C$400,MATCH("*"&amp;F32&amp;"*",'1'!B$300:B$400,0)),"  ")</f>
        <v xml:space="preserve">  </v>
      </c>
      <c r="Q32" s="479" t="str">
        <f>IFERROR(INDEX('2'!C$300:C$400,MATCH("*"&amp;F32&amp;"*",'2'!B$300:B$400,0)),"  ")</f>
        <v xml:space="preserve">  </v>
      </c>
      <c r="R32" s="479">
        <f>IFERROR(INDEX('3'!C$300:C$400,MATCH("*"&amp;F32&amp;"*",'3'!B$300:B$400,0)),"  ")</f>
        <v>24</v>
      </c>
      <c r="S32" s="479">
        <f>IFERROR(INDEX('4'!C$300:C$400,MATCH("*"&amp;F32&amp;"*",'4'!B$300:B$400,0)),"  ")</f>
        <v>10</v>
      </c>
      <c r="T32" s="479" t="str">
        <f>IFERROR(INDEX('5'!C$300:C$400,MATCH("*"&amp;F32&amp;"*",'5'!B$300:B$400,0)),"  ")</f>
        <v xml:space="preserve">  </v>
      </c>
      <c r="U32" s="479">
        <f>IFERROR(INDEX('6'!C$300:C$400,MATCH("*"&amp;F32&amp;"*",'6'!B$300:B$400,0)),"  ")</f>
        <v>1</v>
      </c>
      <c r="V32" s="479" t="str">
        <f ca="1">IFERROR(INDEX('7'!C$300:C$400,MATCH("*"&amp;F32&amp;"*",'7'!B$300:B$400,0)),"  ")</f>
        <v xml:space="preserve">  </v>
      </c>
      <c r="W32" s="479" t="str">
        <f>IFERROR(INDEX('8'!C$300:C$400,MATCH("*"&amp;F32&amp;"*",'8'!B$300:B$400,0)),"  ")</f>
        <v xml:space="preserve">  </v>
      </c>
      <c r="X32" s="479">
        <f>IFERROR(INDEX('9'!C$300:C$400,MATCH("*"&amp;F32&amp;"*",'9'!B$300:B$400,0)),"  ")</f>
        <v>12</v>
      </c>
      <c r="Y32" s="479" t="str">
        <f>IFERROR(INDEX('10'!C$300:C$400,MATCH("*"&amp;F32&amp;"*",'10'!B$300:B$400,0)),"  ")</f>
        <v xml:space="preserve">  </v>
      </c>
      <c r="Z32" s="478" t="str">
        <f>IFERROR(INDEX('11'!C$300:C$400,MATCH("*"&amp;F32&amp;"*",'11'!B$300:B$400,0)),"  ")</f>
        <v xml:space="preserve">  </v>
      </c>
      <c r="AA32" s="479">
        <f>IFERROR(INDEX('12'!C$300:C$400,MATCH("*"&amp;F32&amp;"*",'12'!B$300:B$400,0)),"  ")</f>
        <v>10</v>
      </c>
      <c r="AB32" s="479">
        <f>IFERROR(INDEX('13'!C$300:C$400,MATCH("*"&amp;F32&amp;"*",'13'!B$300:B$400,0)),"  ")</f>
        <v>22</v>
      </c>
      <c r="AC32" s="479">
        <f>IFERROR(INDEX('14'!C$300:C$400,MATCH("*"&amp;F32&amp;"*",'14'!B$300:B$400,0)),"  ")</f>
        <v>1</v>
      </c>
      <c r="AD32" s="481">
        <f t="shared" ca="1" si="4"/>
        <v>7</v>
      </c>
      <c r="AE32" s="481">
        <f t="shared" ca="1" si="5"/>
        <v>0</v>
      </c>
      <c r="AF32" s="481">
        <f t="shared" ca="1" si="6"/>
        <v>0</v>
      </c>
      <c r="AG32" s="482">
        <f t="shared" si="10"/>
        <v>1E-4</v>
      </c>
      <c r="AH32" s="482">
        <f t="shared" si="7"/>
        <v>2.0000000000000001E-4</v>
      </c>
      <c r="AI32" s="482">
        <f t="shared" ca="1" si="8"/>
        <v>5.0000000000000001E-4</v>
      </c>
      <c r="AJ32" s="482" t="e">
        <f t="shared" ca="1" si="9"/>
        <v>#VALUE!</v>
      </c>
      <c r="AK32" s="493"/>
    </row>
    <row r="33" spans="1:37" x14ac:dyDescent="0.2">
      <c r="A33" s="467" t="str">
        <f>IFERROR(RANK(B33,B$8:B$64,1),"")</f>
        <v/>
      </c>
      <c r="B33" s="468" t="str">
        <f t="shared" si="0"/>
        <v/>
      </c>
      <c r="C33" s="469" t="str">
        <f>IFERROR(RANK(D33,D$8:D$64,1),"")</f>
        <v/>
      </c>
      <c r="D33" s="470" t="str">
        <f t="shared" si="1"/>
        <v/>
      </c>
      <c r="E33" s="471">
        <f ca="1">RANK(L33,L$8:L$64,1)</f>
        <v>26</v>
      </c>
      <c r="F33" s="432" t="s">
        <v>245</v>
      </c>
      <c r="G33" s="472"/>
      <c r="H33" s="473"/>
      <c r="I33" s="474">
        <f ca="1">(IF(COUNT(P33,R33,X33,Y33)&lt;3,SUM(P33,R33,X33,Y33),SUM(LARGE((P33,R33,X33,Y33),{1;2;3}))))+(IF(COUNT(Q33,S33,U33,W33)&lt;3,SUM(Q33,S33,U33,W33),SUM(LARGE((Q33,S33,U33,W33),{1;2;3}))))+(IF(COUNT(T33,V33,Z33,AA33,AB33,AC33)&lt;4,SUM(T33,V33,Z33,AA33,AB33,AC33),SUM(LARGE((T33,V33,Z33,AA33,AB33,AC33),{1;2;3;4}))))</f>
        <v>74</v>
      </c>
      <c r="J33" s="475" t="str">
        <f ca="1">INDEX(ETAPP!B$1:B$32,MATCH(COUNTIF(P33:AC33,PIV!A$1),ETAPP!A$1:A$32,0))&amp;INDEX(ETAPP!B$1:B$32,MATCH(COUNTIF(P33:AC33,PIV!A$2),ETAPP!A$1:A$32,0))&amp;INDEX(ETAPP!B$1:B$32,MATCH(COUNTIF(P33:AC33,PIV!A$3),ETAPP!A$1:A$32,0))&amp;INDEX(ETAPP!B$1:B$32,MATCH(COUNTIF(P33:AC33,PIV!A$4),ETAPP!A$1:A$32,0))&amp;INDEX(ETAPP!B$1:B$32,MATCH(COUNTIF(P33:AC33,PIV!A$5),ETAPP!A$1:A$32,0))&amp;INDEX(ETAPP!B$1:B$32,MATCH(COUNTIF(P33:AC33,PIV!A$6),ETAPP!A$1:A$32,0))&amp;INDEX(ETAPP!B$1:B$32,MATCH(COUNTIF(P33:AC33,PIV!A$7),ETAPP!A$1:A$32,0))&amp;INDEX(ETAPP!B$1:B$32,MATCH(COUNTIF(P33:AC33,PIV!A$8),ETAPP!A$1:A$32,0))&amp;INDEX(ETAPP!B$1:B$32,MATCH(COUNTIF(P33:AC33,PIV!A$9),ETAPP!A$1:A$32,0))&amp;INDEX(ETAPP!B$1:B$32,MATCH(COUNTIF(P33:AC33,PIV!A$10),ETAPP!A$1:A$32,0))&amp;INDEX(ETAPP!B$1:B$32,MATCH(COUNTIF(P33:AC33,PIV!A$11),ETAPP!A$1:A$32,0))&amp;INDEX(ETAPP!B$1:B$32,MATCH(COUNTIF(P33:AC33,PIV!A$12),ETAPP!A$1:A$32,0))&amp;INDEX(ETAPP!B$1:B$32,MATCH(COUNTIF(P33:AC33,PIV!A$13),ETAPP!A$1:A$32,0))&amp;INDEX(ETAPP!B$1:B$32,MATCH(COUNTIF(P33:AC33,PIV!A$14),ETAPP!A$1:A$32,0))&amp;INDEX(ETAPP!B$1:B$32,MATCH(COUNTIF(P33:AC33,PIV!A$15),ETAPP!A$1:A$32,0))&amp;INDEX(ETAPP!B$1:B$32,MATCH(COUNTIF(P33:AC33,PIV!A$16),ETAPP!A$1:A$32,0))&amp;INDEX(ETAPP!B$1:B$32,MATCH(COUNTIF(P33:AC33,PIV!A$17),ETAPP!A$1:A$32,0))&amp;INDEX(ETAPP!B$1:B$32,MATCH(COUNTIF(P33:AC33,PIV!A$18),ETAPP!A$1:A$32,0))&amp;INDEX(ETAPP!B$1:B$32,MATCH(COUNTIF(P33:AC33,PIV!A$19),ETAPP!A$1:A$32,0))</f>
        <v>000AA00A00000A0000E</v>
      </c>
      <c r="K33" s="475" t="str">
        <f t="shared" ca="1" si="2"/>
        <v>074,0-000AA00A00000A0000E</v>
      </c>
      <c r="L33" s="476">
        <f ca="1">COUNTIF(K$8:K$64,"&gt;="&amp;K33)</f>
        <v>26</v>
      </c>
      <c r="M33" s="476">
        <f>COUNTIF(F$8:F$64,"&gt;="&amp;F33)</f>
        <v>39</v>
      </c>
      <c r="N33" s="475" t="str">
        <f t="shared" ca="1" si="3"/>
        <v>074,0-000AA00A00000A0000E-039</v>
      </c>
      <c r="O33" s="477">
        <f ca="1">COUNTIF(N$8:N$64,"&lt;="&amp;N33)</f>
        <v>32</v>
      </c>
      <c r="P33" s="478" t="str">
        <f>IFERROR(INDEX('1'!C$300:C$400,MATCH("*"&amp;F33&amp;"*",'1'!B$300:B$400,0)),"  ")</f>
        <v xml:space="preserve">  </v>
      </c>
      <c r="Q33" s="479">
        <f>IFERROR(INDEX('2'!C$300:C$400,MATCH("*"&amp;F33&amp;"*",'2'!B$300:B$400,0)),"  ")</f>
        <v>24</v>
      </c>
      <c r="R33" s="479">
        <f>IFERROR(INDEX('3'!C$300:C$400,MATCH("*"&amp;F33&amp;"*",'3'!B$300:B$400,0)),"  ")</f>
        <v>18</v>
      </c>
      <c r="S33" s="479" t="str">
        <f>IFERROR(INDEX('4'!C$300:C$400,MATCH("*"&amp;F33&amp;"*",'4'!B$300:B$400,0)),"  ")</f>
        <v xml:space="preserve">  </v>
      </c>
      <c r="T33" s="479" t="str">
        <f>IFERROR(INDEX('5'!C$300:C$400,MATCH("*"&amp;F33&amp;"*",'5'!B$300:B$400,0)),"  ")</f>
        <v xml:space="preserve">  </v>
      </c>
      <c r="U33" s="479">
        <f>IFERROR(INDEX('6'!C$300:C$400,MATCH("*"&amp;F33&amp;"*",'6'!B$300:B$400,0)),"  ")</f>
        <v>6</v>
      </c>
      <c r="V33" s="479" t="str">
        <f ca="1">IFERROR(INDEX('7'!C$300:C$400,MATCH("*"&amp;F33&amp;"*",'7'!B$300:B$400,0)),"  ")</f>
        <v xml:space="preserve">  </v>
      </c>
      <c r="W33" s="479" t="str">
        <f>IFERROR(INDEX('8'!C$300:C$400,MATCH("*"&amp;F33&amp;"*",'8'!B$300:B$400,0)),"  ")</f>
        <v xml:space="preserve">  </v>
      </c>
      <c r="X33" s="479">
        <f>IFERROR(INDEX('9'!C$300:C$400,MATCH("*"&amp;F33&amp;"*",'9'!B$300:B$400,0)),"  ")</f>
        <v>26</v>
      </c>
      <c r="Y33" s="479" t="str">
        <f>IFERROR(INDEX('10'!C$300:C$400,MATCH("*"&amp;F33&amp;"*",'10'!B$300:B$400,0)),"  ")</f>
        <v xml:space="preserve">  </v>
      </c>
      <c r="Z33" s="478" t="str">
        <f>IFERROR(INDEX('11'!C$300:C$400,MATCH("*"&amp;F33&amp;"*",'11'!B$300:B$400,0)),"  ")</f>
        <v xml:space="preserve">  </v>
      </c>
      <c r="AA33" s="479" t="str">
        <f>IFERROR(INDEX('12'!C$300:C$400,MATCH("*"&amp;F33&amp;"*",'12'!B$300:B$400,0)),"  ")</f>
        <v xml:space="preserve">  </v>
      </c>
      <c r="AB33" s="479" t="str">
        <f>IFERROR(INDEX('13'!C$300:C$400,MATCH("*"&amp;F33&amp;"*",'13'!B$300:B$400,0)),"  ")</f>
        <v xml:space="preserve">  </v>
      </c>
      <c r="AC33" s="479" t="str">
        <f>IFERROR(INDEX('14'!C$300:C$400,MATCH("*"&amp;F33&amp;"*",'14'!B$300:B$400,0)),"  ")</f>
        <v xml:space="preserve">  </v>
      </c>
      <c r="AD33" s="481">
        <f t="shared" ca="1" si="4"/>
        <v>4</v>
      </c>
      <c r="AE33" s="481">
        <f t="shared" ca="1" si="5"/>
        <v>0</v>
      </c>
      <c r="AF33" s="481">
        <f t="shared" ca="1" si="6"/>
        <v>0</v>
      </c>
      <c r="AG33" s="482">
        <f t="shared" si="10"/>
        <v>1E-4</v>
      </c>
      <c r="AH33" s="482">
        <f t="shared" si="7"/>
        <v>4.0000000000000002E-4</v>
      </c>
      <c r="AI33" s="482">
        <f t="shared" ca="1" si="8"/>
        <v>5.0000000000000001E-4</v>
      </c>
      <c r="AJ33" s="482" t="e">
        <f t="shared" ca="1" si="9"/>
        <v>#VALUE!</v>
      </c>
      <c r="AK33" s="412"/>
    </row>
    <row r="34" spans="1:37" x14ac:dyDescent="0.2">
      <c r="A34" s="467">
        <f ca="1">IFERROR(RANK(B34,B$8:B$64,1),"")</f>
        <v>3</v>
      </c>
      <c r="B34" s="468">
        <f t="shared" ca="1" si="0"/>
        <v>27</v>
      </c>
      <c r="C34" s="469" t="str">
        <f>IFERROR(RANK(D34,D$8:D$64,1),"")</f>
        <v/>
      </c>
      <c r="D34" s="470" t="str">
        <f t="shared" si="1"/>
        <v/>
      </c>
      <c r="E34" s="471">
        <f ca="1">RANK(L34,L$8:L$64,1)</f>
        <v>27</v>
      </c>
      <c r="F34" s="432" t="s">
        <v>246</v>
      </c>
      <c r="G34" s="472" t="s">
        <v>234</v>
      </c>
      <c r="H34" s="473"/>
      <c r="I34" s="474">
        <f ca="1">(IF(COUNT(P34,R34,X34,Y34)&lt;3,SUM(P34,R34,X34,Y34),SUM(LARGE((P34,R34,X34,Y34),{1;2;3}))))+(IF(COUNT(Q34,S34,U34,W34)&lt;3,SUM(Q34,S34,U34,W34),SUM(LARGE((Q34,S34,U34,W34),{1;2;3}))))+(IF(COUNT(T34,V34,Z34,AA34,AB34,AC34)&lt;4,SUM(T34,V34,Z34,AA34,AB34,AC34),SUM(LARGE((T34,V34,Z34,AA34,AB34,AC34),{1;2;3;4}))))</f>
        <v>72</v>
      </c>
      <c r="J34" s="475" t="str">
        <f ca="1">INDEX(ETAPP!B$1:B$32,MATCH(COUNTIF(P34:AC34,PIV!A$1),ETAPP!A$1:A$32,0))&amp;INDEX(ETAPP!B$1:B$32,MATCH(COUNTIF(P34:AC34,PIV!A$2),ETAPP!A$1:A$32,0))&amp;INDEX(ETAPP!B$1:B$32,MATCH(COUNTIF(P34:AC34,PIV!A$3),ETAPP!A$1:A$32,0))&amp;INDEX(ETAPP!B$1:B$32,MATCH(COUNTIF(P34:AC34,PIV!A$4),ETAPP!A$1:A$32,0))&amp;INDEX(ETAPP!B$1:B$32,MATCH(COUNTIF(P34:AC34,PIV!A$5),ETAPP!A$1:A$32,0))&amp;INDEX(ETAPP!B$1:B$32,MATCH(COUNTIF(P34:AC34,PIV!A$6),ETAPP!A$1:A$32,0))&amp;INDEX(ETAPP!B$1:B$32,MATCH(COUNTIF(P34:AC34,PIV!A$7),ETAPP!A$1:A$32,0))&amp;INDEX(ETAPP!B$1:B$32,MATCH(COUNTIF(P34:AC34,PIV!A$8),ETAPP!A$1:A$32,0))&amp;INDEX(ETAPP!B$1:B$32,MATCH(COUNTIF(P34:AC34,PIV!A$9),ETAPP!A$1:A$32,0))&amp;INDEX(ETAPP!B$1:B$32,MATCH(COUNTIF(P34:AC34,PIV!A$10),ETAPP!A$1:A$32,0))&amp;INDEX(ETAPP!B$1:B$32,MATCH(COUNTIF(P34:AC34,PIV!A$11),ETAPP!A$1:A$32,0))&amp;INDEX(ETAPP!B$1:B$32,MATCH(COUNTIF(P34:AC34,PIV!A$12),ETAPP!A$1:A$32,0))&amp;INDEX(ETAPP!B$1:B$32,MATCH(COUNTIF(P34:AC34,PIV!A$13),ETAPP!A$1:A$32,0))&amp;INDEX(ETAPP!B$1:B$32,MATCH(COUNTIF(P34:AC34,PIV!A$14),ETAPP!A$1:A$32,0))&amp;INDEX(ETAPP!B$1:B$32,MATCH(COUNTIF(P34:AC34,PIV!A$15),ETAPP!A$1:A$32,0))&amp;INDEX(ETAPP!B$1:B$32,MATCH(COUNTIF(P34:AC34,PIV!A$16),ETAPP!A$1:A$32,0))&amp;INDEX(ETAPP!B$1:B$32,MATCH(COUNTIF(P34:AC34,PIV!A$17),ETAPP!A$1:A$32,0))&amp;INDEX(ETAPP!B$1:B$32,MATCH(COUNTIF(P34:AC34,PIV!A$18),ETAPP!A$1:A$32,0))&amp;INDEX(ETAPP!B$1:B$32,MATCH(COUNTIF(P34:AC34,PIV!A$19),ETAPP!A$1:A$32,0))</f>
        <v>A0000000B000000000F</v>
      </c>
      <c r="K34" s="475" t="str">
        <f t="shared" ca="1" si="2"/>
        <v>072,0-A0000000B000000000F</v>
      </c>
      <c r="L34" s="476">
        <f ca="1">COUNTIF(K$8:K$64,"&gt;="&amp;K34)</f>
        <v>27</v>
      </c>
      <c r="M34" s="476">
        <f>COUNTIF(F$8:F$64,"&gt;="&amp;F34)</f>
        <v>56</v>
      </c>
      <c r="N34" s="475" t="str">
        <f t="shared" ca="1" si="3"/>
        <v>072,0-A0000000B000000000F-056</v>
      </c>
      <c r="O34" s="477">
        <f ca="1">COUNTIF(N$8:N$64,"&lt;="&amp;N34)</f>
        <v>31</v>
      </c>
      <c r="P34" s="478" t="str">
        <f>IFERROR(INDEX('1'!C$300:C$400,MATCH("*"&amp;F34&amp;"*",'1'!B$300:B$400,0)),"  ")</f>
        <v xml:space="preserve">  </v>
      </c>
      <c r="Q34" s="479" t="str">
        <f>IFERROR(INDEX('2'!C$300:C$400,MATCH("*"&amp;F34&amp;"*",'2'!B$300:B$400,0)),"  ")</f>
        <v xml:space="preserve">  </v>
      </c>
      <c r="R34" s="479" t="str">
        <f>IFERROR(INDEX('3'!C$300:C$400,MATCH("*"&amp;F34&amp;"*",'3'!B$300:B$400,0)),"  ")</f>
        <v xml:space="preserve">  </v>
      </c>
      <c r="S34" s="479" t="str">
        <f>IFERROR(INDEX('4'!C$300:C$400,MATCH("*"&amp;F34&amp;"*",'4'!B$300:B$400,0)),"  ")</f>
        <v xml:space="preserve">  </v>
      </c>
      <c r="T34" s="479" t="str">
        <f>IFERROR(INDEX('5'!C$300:C$400,MATCH("*"&amp;F34&amp;"*",'5'!B$300:B$400,0)),"  ")</f>
        <v xml:space="preserve">  </v>
      </c>
      <c r="U34" s="479">
        <f>IFERROR(INDEX('6'!C$300:C$400,MATCH("*"&amp;F34&amp;"*",'6'!B$300:B$400,0)),"  ")</f>
        <v>16</v>
      </c>
      <c r="V34" s="479" t="str">
        <f ca="1">IFERROR(INDEX('7'!C$300:C$400,MATCH("*"&amp;F34&amp;"*",'7'!B$300:B$400,0)),"  ")</f>
        <v xml:space="preserve">  </v>
      </c>
      <c r="W34" s="479">
        <f>IFERROR(INDEX('8'!C$300:C$400,MATCH("*"&amp;F34&amp;"*",'8'!B$300:B$400,0)),"  ")</f>
        <v>16</v>
      </c>
      <c r="X34" s="479" t="str">
        <f>IFERROR(INDEX('9'!C$300:C$400,MATCH("*"&amp;F34&amp;"*",'9'!B$300:B$400,0)),"  ")</f>
        <v xml:space="preserve">  </v>
      </c>
      <c r="Y34" s="479">
        <f>IFERROR(INDEX('10'!C$300:C$400,MATCH("*"&amp;F34&amp;"*",'10'!B$300:B$400,0)),"  ")</f>
        <v>40</v>
      </c>
      <c r="Z34" s="478" t="str">
        <f>IFERROR(INDEX('11'!C$300:C$400,MATCH("*"&amp;F34&amp;"*",'11'!B$300:B$400,0)),"  ")</f>
        <v xml:space="preserve">  </v>
      </c>
      <c r="AA34" s="479" t="str">
        <f>IFERROR(INDEX('12'!C$300:C$400,MATCH("*"&amp;F34&amp;"*",'12'!B$300:B$400,0)),"  ")</f>
        <v xml:space="preserve">  </v>
      </c>
      <c r="AB34" s="479" t="str">
        <f>IFERROR(INDEX('13'!C$300:C$400,MATCH("*"&amp;F34&amp;"*",'13'!B$300:B$400,0)),"  ")</f>
        <v xml:space="preserve">  </v>
      </c>
      <c r="AC34" s="479" t="str">
        <f>IFERROR(INDEX('14'!C$300:C$400,MATCH("*"&amp;F34&amp;"*",'14'!B$300:B$400,0)),"  ")</f>
        <v xml:space="preserve">  </v>
      </c>
      <c r="AD34" s="481">
        <f t="shared" ca="1" si="4"/>
        <v>3</v>
      </c>
      <c r="AE34" s="481">
        <f t="shared" ca="1" si="5"/>
        <v>1</v>
      </c>
      <c r="AF34" s="481">
        <f t="shared" ca="1" si="6"/>
        <v>1</v>
      </c>
      <c r="AG34" s="482">
        <f t="shared" si="10"/>
        <v>1E-4</v>
      </c>
      <c r="AH34" s="482">
        <f t="shared" si="7"/>
        <v>2.0000000000000001E-4</v>
      </c>
      <c r="AI34" s="482">
        <f t="shared" ca="1" si="8"/>
        <v>5.0000000000000001E-4</v>
      </c>
      <c r="AJ34" s="482" t="e">
        <f t="shared" ca="1" si="9"/>
        <v>#VALUE!</v>
      </c>
      <c r="AK34" s="493"/>
    </row>
    <row r="35" spans="1:37" x14ac:dyDescent="0.2">
      <c r="A35" s="467" t="str">
        <f>IFERROR(RANK(B35,B$8:B$64,1),"")</f>
        <v/>
      </c>
      <c r="B35" s="468" t="str">
        <f t="shared" si="0"/>
        <v/>
      </c>
      <c r="C35" s="469" t="str">
        <f>IFERROR(RANK(D35,D$8:D$64,1),"")</f>
        <v/>
      </c>
      <c r="D35" s="470" t="str">
        <f t="shared" si="1"/>
        <v/>
      </c>
      <c r="E35" s="471">
        <f ca="1">RANK(L35,L$8:L$64,1)</f>
        <v>28</v>
      </c>
      <c r="F35" s="432" t="s">
        <v>247</v>
      </c>
      <c r="G35" s="472"/>
      <c r="H35" s="473"/>
      <c r="I35" s="474">
        <f ca="1">(IF(COUNT(P35,R35,X35,Y35)&lt;3,SUM(P35,R35,X35,Y35),SUM(LARGE((P35,R35,X35,Y35),{1;2;3}))))+(IF(COUNT(Q35,S35,U35,W35)&lt;3,SUM(Q35,S35,U35,W35),SUM(LARGE((Q35,S35,U35,W35),{1;2;3}))))+(IF(COUNT(T35,V35,Z35,AA35,AB35,AC35)&lt;4,SUM(T35,V35,Z35,AA35,AB35,AC35),SUM(LARGE((T35,V35,Z35,AA35,AB35,AC35),{1;2;3;4}))))</f>
        <v>68</v>
      </c>
      <c r="J35" s="475" t="str">
        <f ca="1">INDEX(ETAPP!B$1:B$32,MATCH(COUNTIF(P35:AC35,PIV!A$1),ETAPP!A$1:A$32,0))&amp;INDEX(ETAPP!B$1:B$32,MATCH(COUNTIF(P35:AC35,PIV!A$2),ETAPP!A$1:A$32,0))&amp;INDEX(ETAPP!B$1:B$32,MATCH(COUNTIF(P35:AC35,PIV!A$3),ETAPP!A$1:A$32,0))&amp;INDEX(ETAPP!B$1:B$32,MATCH(COUNTIF(P35:AC35,PIV!A$4),ETAPP!A$1:A$32,0))&amp;INDEX(ETAPP!B$1:B$32,MATCH(COUNTIF(P35:AC35,PIV!A$5),ETAPP!A$1:A$32,0))&amp;INDEX(ETAPP!B$1:B$32,MATCH(COUNTIF(P35:AC35,PIV!A$6),ETAPP!A$1:A$32,0))&amp;INDEX(ETAPP!B$1:B$32,MATCH(COUNTIF(P35:AC35,PIV!A$7),ETAPP!A$1:A$32,0))&amp;INDEX(ETAPP!B$1:B$32,MATCH(COUNTIF(P35:AC35,PIV!A$8),ETAPP!A$1:A$32,0))&amp;INDEX(ETAPP!B$1:B$32,MATCH(COUNTIF(P35:AC35,PIV!A$9),ETAPP!A$1:A$32,0))&amp;INDEX(ETAPP!B$1:B$32,MATCH(COUNTIF(P35:AC35,PIV!A$10),ETAPP!A$1:A$32,0))&amp;INDEX(ETAPP!B$1:B$32,MATCH(COUNTIF(P35:AC35,PIV!A$11),ETAPP!A$1:A$32,0))&amp;INDEX(ETAPP!B$1:B$32,MATCH(COUNTIF(P35:AC35,PIV!A$12),ETAPP!A$1:A$32,0))&amp;INDEX(ETAPP!B$1:B$32,MATCH(COUNTIF(P35:AC35,PIV!A$13),ETAPP!A$1:A$32,0))&amp;INDEX(ETAPP!B$1:B$32,MATCH(COUNTIF(P35:AC35,PIV!A$14),ETAPP!A$1:A$32,0))&amp;INDEX(ETAPP!B$1:B$32,MATCH(COUNTIF(P35:AC35,PIV!A$15),ETAPP!A$1:A$32,0))&amp;INDEX(ETAPP!B$1:B$32,MATCH(COUNTIF(P35:AC35,PIV!A$16),ETAPP!A$1:A$32,0))&amp;INDEX(ETAPP!B$1:B$32,MATCH(COUNTIF(P35:AC35,PIV!A$17),ETAPP!A$1:A$32,0))&amp;INDEX(ETAPP!B$1:B$32,MATCH(COUNTIF(P35:AC35,PIV!A$18),ETAPP!A$1:A$32,0))&amp;INDEX(ETAPP!B$1:B$32,MATCH(COUNTIF(P35:AC35,PIV!A$19),ETAPP!A$1:A$32,0))</f>
        <v>0000B00A0000000A00E</v>
      </c>
      <c r="K35" s="475" t="str">
        <f t="shared" ca="1" si="2"/>
        <v>068,0-0000B00A0000000A00E</v>
      </c>
      <c r="L35" s="476">
        <f ca="1">COUNTIF(K$8:K$64,"&gt;="&amp;K35)</f>
        <v>28</v>
      </c>
      <c r="M35" s="476">
        <f>COUNTIF(F$8:F$64,"&gt;="&amp;F35)</f>
        <v>15</v>
      </c>
      <c r="N35" s="475" t="str">
        <f t="shared" ca="1" si="3"/>
        <v>068,0-0000B00A0000000A00E-015</v>
      </c>
      <c r="O35" s="477">
        <f ca="1">COUNTIF(N$8:N$64,"&lt;="&amp;N35)</f>
        <v>30</v>
      </c>
      <c r="P35" s="478" t="str">
        <f>IFERROR(INDEX('1'!C$300:C$400,MATCH("*"&amp;F35&amp;"*",'1'!B$300:B$400,0)),"  ")</f>
        <v xml:space="preserve">  </v>
      </c>
      <c r="Q35" s="479" t="str">
        <f>IFERROR(INDEX('2'!C$300:C$400,MATCH("*"&amp;F35&amp;"*",'2'!B$300:B$400,0)),"  ")</f>
        <v xml:space="preserve">  </v>
      </c>
      <c r="R35" s="479">
        <f>IFERROR(INDEX('3'!C$300:C$400,MATCH("*"&amp;F35&amp;"*",'3'!B$300:B$400,0)),"  ")</f>
        <v>18</v>
      </c>
      <c r="S35" s="479" t="str">
        <f>IFERROR(INDEX('4'!C$300:C$400,MATCH("*"&amp;F35&amp;"*",'4'!B$300:B$400,0)),"  ")</f>
        <v xml:space="preserve">  </v>
      </c>
      <c r="T35" s="479" t="str">
        <f>IFERROR(INDEX('5'!C$300:C$400,MATCH("*"&amp;F35&amp;"*",'5'!B$300:B$400,0)),"  ")</f>
        <v xml:space="preserve">  </v>
      </c>
      <c r="U35" s="479">
        <f>IFERROR(INDEX('6'!C$300:C$400,MATCH("*"&amp;F35&amp;"*",'6'!B$300:B$400,0)),"  ")</f>
        <v>2</v>
      </c>
      <c r="V35" s="479" t="str">
        <f ca="1">IFERROR(INDEX('7'!C$300:C$400,MATCH("*"&amp;F35&amp;"*",'7'!B$300:B$400,0)),"  ")</f>
        <v xml:space="preserve">  </v>
      </c>
      <c r="W35" s="479" t="str">
        <f>IFERROR(INDEX('8'!C$300:C$400,MATCH("*"&amp;F35&amp;"*",'8'!B$300:B$400,0)),"  ")</f>
        <v xml:space="preserve">  </v>
      </c>
      <c r="X35" s="479">
        <f>IFERROR(INDEX('9'!C$300:C$400,MATCH("*"&amp;F35&amp;"*",'9'!B$300:B$400,0)),"  ")</f>
        <v>24</v>
      </c>
      <c r="Y35" s="479">
        <f>IFERROR(INDEX('10'!C$300:C$400,MATCH("*"&amp;F35&amp;"*",'10'!B$300:B$400,0)),"  ")</f>
        <v>24</v>
      </c>
      <c r="Z35" s="478" t="str">
        <f>IFERROR(INDEX('11'!C$300:C$400,MATCH("*"&amp;F35&amp;"*",'11'!B$300:B$400,0)),"  ")</f>
        <v xml:space="preserve">  </v>
      </c>
      <c r="AA35" s="479" t="str">
        <f>IFERROR(INDEX('12'!C$300:C$400,MATCH("*"&amp;F35&amp;"*",'12'!B$300:B$400,0)),"  ")</f>
        <v xml:space="preserve">  </v>
      </c>
      <c r="AB35" s="479" t="str">
        <f>IFERROR(INDEX('13'!C$300:C$400,MATCH("*"&amp;F35&amp;"*",'13'!B$300:B$400,0)),"  ")</f>
        <v xml:space="preserve">  </v>
      </c>
      <c r="AC35" s="479" t="str">
        <f>IFERROR(INDEX('14'!C$300:C$400,MATCH("*"&amp;F35&amp;"*",'14'!B$300:B$400,0)),"  ")</f>
        <v xml:space="preserve">  </v>
      </c>
      <c r="AD35" s="481">
        <f t="shared" ca="1" si="4"/>
        <v>4</v>
      </c>
      <c r="AE35" s="481">
        <f t="shared" ca="1" si="5"/>
        <v>0</v>
      </c>
      <c r="AF35" s="481">
        <f t="shared" ca="1" si="6"/>
        <v>0</v>
      </c>
      <c r="AG35" s="482">
        <f t="shared" si="10"/>
        <v>1E-4</v>
      </c>
      <c r="AH35" s="482">
        <f t="shared" si="7"/>
        <v>2.0000000000000001E-4</v>
      </c>
      <c r="AI35" s="482">
        <f t="shared" ca="1" si="8"/>
        <v>5.0000000000000001E-4</v>
      </c>
      <c r="AJ35" s="482" t="e">
        <f t="shared" ca="1" si="9"/>
        <v>#VALUE!</v>
      </c>
      <c r="AK35" s="412"/>
    </row>
    <row r="36" spans="1:37" x14ac:dyDescent="0.2">
      <c r="A36" s="467" t="str">
        <f>IFERROR(RANK(B36,B$8:B$64,1),"")</f>
        <v/>
      </c>
      <c r="B36" s="468" t="str">
        <f t="shared" si="0"/>
        <v/>
      </c>
      <c r="C36" s="469" t="str">
        <f>IFERROR(RANK(D36,D$8:D$64,1),"")</f>
        <v/>
      </c>
      <c r="D36" s="470" t="str">
        <f t="shared" si="1"/>
        <v/>
      </c>
      <c r="E36" s="471">
        <f ca="1">RANK(L36,L$8:L$64,1)</f>
        <v>29</v>
      </c>
      <c r="F36" s="487" t="s">
        <v>248</v>
      </c>
      <c r="G36" s="472"/>
      <c r="H36" s="473"/>
      <c r="I36" s="474">
        <f ca="1">(IF(COUNT(P36,R36,X36,Y36)&lt;3,SUM(P36,R36,X36,Y36),SUM(LARGE((P36,R36,X36,Y36),{1;2;3}))))+(IF(COUNT(Q36,S36,U36,W36)&lt;3,SUM(Q36,S36,U36,W36),SUM(LARGE((Q36,S36,U36,W36),{1;2;3}))))+(IF(COUNT(T36,V36,Z36,AA36,AB36,AC36)&lt;4,SUM(T36,V36,Z36,AA36,AB36,AC36),SUM(LARGE((T36,V36,Z36,AA36,AB36,AC36),{1;2;3;4}))))</f>
        <v>66</v>
      </c>
      <c r="J36" s="475" t="str">
        <f ca="1">INDEX(ETAPP!B$1:B$32,MATCH(COUNTIF(P36:AC36,PIV!A$1),ETAPP!A$1:A$32,0))&amp;INDEX(ETAPP!B$1:B$32,MATCH(COUNTIF(P36:AC36,PIV!A$2),ETAPP!A$1:A$32,0))&amp;INDEX(ETAPP!B$1:B$32,MATCH(COUNTIF(P36:AC36,PIV!A$3),ETAPP!A$1:A$32,0))&amp;INDEX(ETAPP!B$1:B$32,MATCH(COUNTIF(P36:AC36,PIV!A$4),ETAPP!A$1:A$32,0))&amp;INDEX(ETAPP!B$1:B$32,MATCH(COUNTIF(P36:AC36,PIV!A$5),ETAPP!A$1:A$32,0))&amp;INDEX(ETAPP!B$1:B$32,MATCH(COUNTIF(P36:AC36,PIV!A$6),ETAPP!A$1:A$32,0))&amp;INDEX(ETAPP!B$1:B$32,MATCH(COUNTIF(P36:AC36,PIV!A$7),ETAPP!A$1:A$32,0))&amp;INDEX(ETAPP!B$1:B$32,MATCH(COUNTIF(P36:AC36,PIV!A$8),ETAPP!A$1:A$32,0))&amp;INDEX(ETAPP!B$1:B$32,MATCH(COUNTIF(P36:AC36,PIV!A$9),ETAPP!A$1:A$32,0))&amp;INDEX(ETAPP!B$1:B$32,MATCH(COUNTIF(P36:AC36,PIV!A$10),ETAPP!A$1:A$32,0))&amp;INDEX(ETAPP!B$1:B$32,MATCH(COUNTIF(P36:AC36,PIV!A$11),ETAPP!A$1:A$32,0))&amp;INDEX(ETAPP!B$1:B$32,MATCH(COUNTIF(P36:AC36,PIV!A$12),ETAPP!A$1:A$32,0))&amp;INDEX(ETAPP!B$1:B$32,MATCH(COUNTIF(P36:AC36,PIV!A$13),ETAPP!A$1:A$32,0))&amp;INDEX(ETAPP!B$1:B$32,MATCH(COUNTIF(P36:AC36,PIV!A$14),ETAPP!A$1:A$32,0))&amp;INDEX(ETAPP!B$1:B$32,MATCH(COUNTIF(P36:AC36,PIV!A$15),ETAPP!A$1:A$32,0))&amp;INDEX(ETAPP!B$1:B$32,MATCH(COUNTIF(P36:AC36,PIV!A$16),ETAPP!A$1:A$32,0))&amp;INDEX(ETAPP!B$1:B$32,MATCH(COUNTIF(P36:AC36,PIV!A$17),ETAPP!A$1:A$32,0))&amp;INDEX(ETAPP!B$1:B$32,MATCH(COUNTIF(P36:AC36,PIV!A$18),ETAPP!A$1:A$32,0))&amp;INDEX(ETAPP!B$1:B$32,MATCH(COUNTIF(P36:AC36,PIV!A$19),ETAPP!A$1:A$32,0))</f>
        <v>A00A00000000000000G</v>
      </c>
      <c r="K36" s="475" t="str">
        <f t="shared" ca="1" si="2"/>
        <v>066,0-A00A00000000000000G</v>
      </c>
      <c r="L36" s="476">
        <f ca="1">COUNTIF(K$8:K$64,"&gt;="&amp;K36)</f>
        <v>29</v>
      </c>
      <c r="M36" s="476">
        <f>COUNTIF(F$8:F$64,"&gt;="&amp;F36)</f>
        <v>16</v>
      </c>
      <c r="N36" s="475" t="str">
        <f t="shared" ca="1" si="3"/>
        <v>066,0-A00A00000000000000G-016</v>
      </c>
      <c r="O36" s="477">
        <f ca="1">COUNTIF(N$8:N$64,"&lt;="&amp;N36)</f>
        <v>29</v>
      </c>
      <c r="P36" s="478" t="str">
        <f>IFERROR(INDEX('1'!C$300:C$400,MATCH("*"&amp;F36&amp;"*",'1'!B$300:B$400,0)),"  ")</f>
        <v xml:space="preserve">  </v>
      </c>
      <c r="Q36" s="479" t="str">
        <f>IFERROR(INDEX('2'!C$300:C$400,MATCH("*"&amp;F36&amp;"*",'2'!B$300:B$400,0)),"  ")</f>
        <v xml:space="preserve">  </v>
      </c>
      <c r="R36" s="479" t="str">
        <f>IFERROR(INDEX('3'!C$300:C$400,MATCH("*"&amp;F36&amp;"*",'3'!B$300:B$400,0)),"  ")</f>
        <v xml:space="preserve">  </v>
      </c>
      <c r="S36" s="479">
        <f>IFERROR(INDEX('4'!C$300:C$400,MATCH("*"&amp;F36&amp;"*",'4'!B$300:B$400,0)),"  ")</f>
        <v>40</v>
      </c>
      <c r="T36" s="479" t="str">
        <f>IFERROR(INDEX('5'!C$300:C$400,MATCH("*"&amp;F36&amp;"*",'5'!B$300:B$400,0)),"  ")</f>
        <v xml:space="preserve">  </v>
      </c>
      <c r="U36" s="479">
        <f>IFERROR(INDEX('6'!C$300:C$400,MATCH("*"&amp;F36&amp;"*",'6'!B$300:B$400,0)),"  ")</f>
        <v>26</v>
      </c>
      <c r="V36" s="479" t="str">
        <f ca="1">IFERROR(INDEX('7'!C$300:C$400,MATCH("*"&amp;F36&amp;"*",'7'!B$300:B$400,0)),"  ")</f>
        <v xml:space="preserve">  </v>
      </c>
      <c r="W36" s="479" t="str">
        <f>IFERROR(INDEX('8'!C$300:C$400,MATCH("*"&amp;F36&amp;"*",'8'!B$300:B$400,0)),"  ")</f>
        <v xml:space="preserve">  </v>
      </c>
      <c r="X36" s="479" t="str">
        <f>IFERROR(INDEX('9'!C$300:C$400,MATCH("*"&amp;F36&amp;"*",'9'!B$300:B$400,0)),"  ")</f>
        <v xml:space="preserve">  </v>
      </c>
      <c r="Y36" s="479" t="str">
        <f>IFERROR(INDEX('10'!C$300:C$400,MATCH("*"&amp;F36&amp;"*",'10'!B$300:B$400,0)),"  ")</f>
        <v xml:space="preserve">  </v>
      </c>
      <c r="Z36" s="478" t="str">
        <f>IFERROR(INDEX('11'!C$300:C$400,MATCH("*"&amp;F36&amp;"*",'11'!B$300:B$400,0)),"  ")</f>
        <v xml:space="preserve">  </v>
      </c>
      <c r="AA36" s="479" t="str">
        <f>IFERROR(INDEX('12'!C$300:C$400,MATCH("*"&amp;F36&amp;"*",'12'!B$300:B$400,0)),"  ")</f>
        <v xml:space="preserve">  </v>
      </c>
      <c r="AB36" s="479" t="str">
        <f>IFERROR(INDEX('13'!C$300:C$400,MATCH("*"&amp;F36&amp;"*",'13'!B$300:B$400,0)),"  ")</f>
        <v xml:space="preserve">  </v>
      </c>
      <c r="AC36" s="479" t="str">
        <f>IFERROR(INDEX('14'!C$300:C$400,MATCH("*"&amp;F36&amp;"*",'14'!B$300:B$400,0)),"  ")</f>
        <v xml:space="preserve">  </v>
      </c>
      <c r="AD36" s="481">
        <f t="shared" ca="1" si="4"/>
        <v>2</v>
      </c>
      <c r="AE36" s="481">
        <f t="shared" ca="1" si="5"/>
        <v>1</v>
      </c>
      <c r="AF36" s="481">
        <f t="shared" ca="1" si="6"/>
        <v>1</v>
      </c>
      <c r="AG36" s="482">
        <f t="shared" si="10"/>
        <v>1E-4</v>
      </c>
      <c r="AH36" s="482">
        <f t="shared" si="7"/>
        <v>2.0000000000000001E-4</v>
      </c>
      <c r="AI36" s="482">
        <f t="shared" ca="1" si="8"/>
        <v>5.0000000000000001E-4</v>
      </c>
      <c r="AJ36" s="482" t="e">
        <f t="shared" ca="1" si="9"/>
        <v>#VALUE!</v>
      </c>
      <c r="AK36" s="412"/>
    </row>
    <row r="37" spans="1:37" x14ac:dyDescent="0.2">
      <c r="A37" s="467" t="str">
        <f>IFERROR(RANK(B37,B$8:B$64,1),"")</f>
        <v/>
      </c>
      <c r="B37" s="468" t="str">
        <f t="shared" si="0"/>
        <v/>
      </c>
      <c r="C37" s="469">
        <f ca="1">IFERROR(RANK(D37,D$8:D$64,1),"")</f>
        <v>2</v>
      </c>
      <c r="D37" s="470">
        <f t="shared" ca="1" si="1"/>
        <v>30</v>
      </c>
      <c r="E37" s="471">
        <f ca="1">RANK(L37,L$8:L$64,1)</f>
        <v>30</v>
      </c>
      <c r="F37" s="487" t="s">
        <v>249</v>
      </c>
      <c r="G37" s="460"/>
      <c r="H37" s="483" t="s">
        <v>240</v>
      </c>
      <c r="I37" s="474">
        <f ca="1">(IF(COUNT(P37,R37,X37,Y37)&lt;3,SUM(P37,R37,X37,Y37),SUM(LARGE((P37,R37,X37,Y37),{1;2;3}))))+(IF(COUNT(Q37,S37,U37,W37)&lt;3,SUM(Q37,S37,U37,W37),SUM(LARGE((Q37,S37,U37,W37),{1;2;3}))))+(IF(COUNT(T37,V37,Z37,AA37,AB37,AC37)&lt;4,SUM(T37,V37,Z37,AA37,AB37,AC37),SUM(LARGE((T37,V37,Z37,AA37,AB37,AC37),{1;2;3;4}))))</f>
        <v>64</v>
      </c>
      <c r="J37" s="475" t="str">
        <f ca="1">INDEX(ETAPP!B$1:B$32,MATCH(COUNTIF(P37:AC37,PIV!A$1),ETAPP!A$1:A$32,0))&amp;INDEX(ETAPP!B$1:B$32,MATCH(COUNTIF(P37:AC37,PIV!A$2),ETAPP!A$1:A$32,0))&amp;INDEX(ETAPP!B$1:B$32,MATCH(COUNTIF(P37:AC37,PIV!A$3),ETAPP!A$1:A$32,0))&amp;INDEX(ETAPP!B$1:B$32,MATCH(COUNTIF(P37:AC37,PIV!A$4),ETAPP!A$1:A$32,0))&amp;INDEX(ETAPP!B$1:B$32,MATCH(COUNTIF(P37:AC37,PIV!A$5),ETAPP!A$1:A$32,0))&amp;INDEX(ETAPP!B$1:B$32,MATCH(COUNTIF(P37:AC37,PIV!A$6),ETAPP!A$1:A$32,0))&amp;INDEX(ETAPP!B$1:B$32,MATCH(COUNTIF(P37:AC37,PIV!A$7),ETAPP!A$1:A$32,0))&amp;INDEX(ETAPP!B$1:B$32,MATCH(COUNTIF(P37:AC37,PIV!A$8),ETAPP!A$1:A$32,0))&amp;INDEX(ETAPP!B$1:B$32,MATCH(COUNTIF(P37:AC37,PIV!A$9),ETAPP!A$1:A$32,0))&amp;INDEX(ETAPP!B$1:B$32,MATCH(COUNTIF(P37:AC37,PIV!A$10),ETAPP!A$1:A$32,0))&amp;INDEX(ETAPP!B$1:B$32,MATCH(COUNTIF(P37:AC37,PIV!A$11),ETAPP!A$1:A$32,0))&amp;INDEX(ETAPP!B$1:B$32,MATCH(COUNTIF(P37:AC37,PIV!A$12),ETAPP!A$1:A$32,0))&amp;INDEX(ETAPP!B$1:B$32,MATCH(COUNTIF(P37:AC37,PIV!A$13),ETAPP!A$1:A$32,0))&amp;INDEX(ETAPP!B$1:B$32,MATCH(COUNTIF(P37:AC37,PIV!A$14),ETAPP!A$1:A$32,0))&amp;INDEX(ETAPP!B$1:B$32,MATCH(COUNTIF(P37:AC37,PIV!A$15),ETAPP!A$1:A$32,0))&amp;INDEX(ETAPP!B$1:B$32,MATCH(COUNTIF(P37:AC37,PIV!A$16),ETAPP!A$1:A$32,0))&amp;INDEX(ETAPP!B$1:B$32,MATCH(COUNTIF(P37:AC37,PIV!A$17),ETAPP!A$1:A$32,0))&amp;INDEX(ETAPP!B$1:B$32,MATCH(COUNTIF(P37:AC37,PIV!A$18),ETAPP!A$1:A$32,0))&amp;INDEX(ETAPP!B$1:B$32,MATCH(COUNTIF(P37:AC37,PIV!A$19),ETAPP!A$1:A$32,0))</f>
        <v>0AA000000000000000G</v>
      </c>
      <c r="K37" s="475" t="str">
        <f t="shared" ca="1" si="2"/>
        <v>064,0-0AA000000000000000G</v>
      </c>
      <c r="L37" s="476">
        <f ca="1">COUNTIF(K$8:K$64,"&gt;="&amp;K37)</f>
        <v>30</v>
      </c>
      <c r="M37" s="476">
        <f>COUNTIF(F$8:F$64,"&gt;="&amp;F37)</f>
        <v>23</v>
      </c>
      <c r="N37" s="475" t="str">
        <f t="shared" ca="1" si="3"/>
        <v>064,0-0AA000000000000000G-023</v>
      </c>
      <c r="O37" s="477">
        <f ca="1">COUNTIF(N$8:N$64,"&lt;="&amp;N37)</f>
        <v>28</v>
      </c>
      <c r="P37" s="478">
        <f>IFERROR(INDEX('1'!C$300:C$400,MATCH("*"&amp;F37&amp;"*",'1'!B$300:B$400,0)),"  ")</f>
        <v>30</v>
      </c>
      <c r="Q37" s="479" t="str">
        <f>IFERROR(INDEX('2'!C$300:C$400,MATCH("*"&amp;F37&amp;"*",'2'!B$300:B$400,0)),"  ")</f>
        <v xml:space="preserve">  </v>
      </c>
      <c r="R37" s="479" t="str">
        <f>IFERROR(INDEX('3'!C$300:C$400,MATCH("*"&amp;F37&amp;"*",'3'!B$300:B$400,0)),"  ")</f>
        <v xml:space="preserve">  </v>
      </c>
      <c r="S37" s="479" t="str">
        <f>IFERROR(INDEX('4'!C$300:C$400,MATCH("*"&amp;F37&amp;"*",'4'!B$300:B$400,0)),"  ")</f>
        <v xml:space="preserve">  </v>
      </c>
      <c r="T37" s="479" t="str">
        <f>IFERROR(INDEX('5'!C$300:C$400,MATCH("*"&amp;F37&amp;"*",'5'!B$300:B$400,0)),"  ")</f>
        <v xml:space="preserve">  </v>
      </c>
      <c r="U37" s="479" t="str">
        <f>IFERROR(INDEX('6'!C$300:C$400,MATCH("*"&amp;F37&amp;"*",'6'!B$300:B$400,0)),"  ")</f>
        <v xml:space="preserve">  </v>
      </c>
      <c r="V37" s="479" t="str">
        <f ca="1">IFERROR(INDEX('7'!C$300:C$400,MATCH("*"&amp;F37&amp;"*",'7'!B$300:B$400,0)),"  ")</f>
        <v xml:space="preserve">  </v>
      </c>
      <c r="W37" s="479" t="str">
        <f>IFERROR(INDEX('8'!C$300:C$400,MATCH("*"&amp;F37&amp;"*",'8'!B$300:B$400,0)),"  ")</f>
        <v xml:space="preserve">  </v>
      </c>
      <c r="X37" s="479">
        <f>IFERROR(INDEX('9'!C$300:C$400,MATCH("*"&amp;F37&amp;"*",'9'!B$300:B$400,0)),"  ")</f>
        <v>34</v>
      </c>
      <c r="Y37" s="479" t="str">
        <f>IFERROR(INDEX('10'!C$300:C$400,MATCH("*"&amp;F37&amp;"*",'10'!B$300:B$400,0)),"  ")</f>
        <v xml:space="preserve">  </v>
      </c>
      <c r="Z37" s="478" t="str">
        <f>IFERROR(INDEX('11'!C$300:C$400,MATCH("*"&amp;F37&amp;"*",'11'!B$300:B$400,0)),"  ")</f>
        <v xml:space="preserve">  </v>
      </c>
      <c r="AA37" s="479" t="str">
        <f>IFERROR(INDEX('12'!C$300:C$400,MATCH("*"&amp;F37&amp;"*",'12'!B$300:B$400,0)),"  ")</f>
        <v xml:space="preserve">  </v>
      </c>
      <c r="AB37" s="479" t="str">
        <f>IFERROR(INDEX('13'!C$300:C$400,MATCH("*"&amp;F37&amp;"*",'13'!B$300:B$400,0)),"  ")</f>
        <v xml:space="preserve">  </v>
      </c>
      <c r="AC37" s="479" t="str">
        <f>IFERROR(INDEX('14'!C$300:C$400,MATCH("*"&amp;F37&amp;"*",'14'!B$300:B$400,0)),"  ")</f>
        <v xml:space="preserve">  </v>
      </c>
      <c r="AD37" s="481">
        <f t="shared" ca="1" si="4"/>
        <v>2</v>
      </c>
      <c r="AE37" s="481">
        <f t="shared" ca="1" si="5"/>
        <v>2</v>
      </c>
      <c r="AF37" s="481">
        <f t="shared" ca="1" si="6"/>
        <v>0</v>
      </c>
      <c r="AG37" s="482">
        <f t="shared" si="10"/>
        <v>2.9999999999999997E-4</v>
      </c>
      <c r="AH37" s="482">
        <f t="shared" si="7"/>
        <v>2.0000000000000001E-4</v>
      </c>
      <c r="AI37" s="482">
        <f t="shared" ca="1" si="8"/>
        <v>5.0000000000000001E-4</v>
      </c>
      <c r="AJ37" s="482" t="e">
        <f t="shared" ca="1" si="9"/>
        <v>#VALUE!</v>
      </c>
      <c r="AK37" s="412"/>
    </row>
    <row r="38" spans="1:37" x14ac:dyDescent="0.2">
      <c r="A38" s="467">
        <f ca="1">IFERROR(RANK(B38,B$8:B$64,1),"")</f>
        <v>4</v>
      </c>
      <c r="B38" s="468">
        <f t="shared" ca="1" si="0"/>
        <v>31</v>
      </c>
      <c r="C38" s="469">
        <f ca="1">IFERROR(RANK(D38,D$8:D$64,1),"")</f>
        <v>3</v>
      </c>
      <c r="D38" s="470">
        <f t="shared" ca="1" si="1"/>
        <v>31</v>
      </c>
      <c r="E38" s="471">
        <f ca="1">RANK(L38,L$8:L$64,1)</f>
        <v>31</v>
      </c>
      <c r="F38" s="487" t="s">
        <v>250</v>
      </c>
      <c r="G38" s="472" t="s">
        <v>234</v>
      </c>
      <c r="H38" s="492" t="s">
        <v>240</v>
      </c>
      <c r="I38" s="474">
        <f ca="1">(IF(COUNT(P38,R38,X38,Y38)&lt;3,SUM(P38,R38,X38,Y38),SUM(LARGE((P38,R38,X38,Y38),{1;2;3}))))+(IF(COUNT(Q38,S38,U38,W38)&lt;3,SUM(Q38,S38,U38,W38),SUM(LARGE((Q38,S38,U38,W38),{1;2;3}))))+(IF(COUNT(T38,V38,Z38,AA38,AB38,AC38)&lt;4,SUM(T38,V38,Z38,AA38,AB38,AC38),SUM(LARGE((T38,V38,Z38,AA38,AB38,AC38),{1;2;3;4}))))</f>
        <v>57</v>
      </c>
      <c r="J38" s="475" t="str">
        <f ca="1">INDEX(ETAPP!B$1:B$32,MATCH(COUNTIF(P38:AC38,PIV!A$1),ETAPP!A$1:A$32,0))&amp;INDEX(ETAPP!B$1:B$32,MATCH(COUNTIF(P38:AC38,PIV!A$2),ETAPP!A$1:A$32,0))&amp;INDEX(ETAPP!B$1:B$32,MATCH(COUNTIF(P38:AC38,PIV!A$3),ETAPP!A$1:A$32,0))&amp;INDEX(ETAPP!B$1:B$32,MATCH(COUNTIF(P38:AC38,PIV!A$4),ETAPP!A$1:A$32,0))&amp;INDEX(ETAPP!B$1:B$32,MATCH(COUNTIF(P38:AC38,PIV!A$5),ETAPP!A$1:A$32,0))&amp;INDEX(ETAPP!B$1:B$32,MATCH(COUNTIF(P38:AC38,PIV!A$6),ETAPP!A$1:A$32,0))&amp;INDEX(ETAPP!B$1:B$32,MATCH(COUNTIF(P38:AC38,PIV!A$7),ETAPP!A$1:A$32,0))&amp;INDEX(ETAPP!B$1:B$32,MATCH(COUNTIF(P38:AC38,PIV!A$8),ETAPP!A$1:A$32,0))&amp;INDEX(ETAPP!B$1:B$32,MATCH(COUNTIF(P38:AC38,PIV!A$9),ETAPP!A$1:A$32,0))&amp;INDEX(ETAPP!B$1:B$32,MATCH(COUNTIF(P38:AC38,PIV!A$10),ETAPP!A$1:A$32,0))&amp;INDEX(ETAPP!B$1:B$32,MATCH(COUNTIF(P38:AC38,PIV!A$11),ETAPP!A$1:A$32,0))&amp;INDEX(ETAPP!B$1:B$32,MATCH(COUNTIF(P38:AC38,PIV!A$12),ETAPP!A$1:A$32,0))&amp;INDEX(ETAPP!B$1:B$32,MATCH(COUNTIF(P38:AC38,PIV!A$13),ETAPP!A$1:A$32,0))&amp;INDEX(ETAPP!B$1:B$32,MATCH(COUNTIF(P38:AC38,PIV!A$14),ETAPP!A$1:A$32,0))&amp;INDEX(ETAPP!B$1:B$32,MATCH(COUNTIF(P38:AC38,PIV!A$15),ETAPP!A$1:A$32,0))&amp;INDEX(ETAPP!B$1:B$32,MATCH(COUNTIF(P38:AC38,PIV!A$16),ETAPP!A$1:A$32,0))&amp;INDEX(ETAPP!B$1:B$32,MATCH(COUNTIF(P38:AC38,PIV!A$17),ETAPP!A$1:A$32,0))&amp;INDEX(ETAPP!B$1:B$32,MATCH(COUNTIF(P38:AC38,PIV!A$18),ETAPP!A$1:A$32,0))&amp;INDEX(ETAPP!B$1:B$32,MATCH(COUNTIF(P38:AC38,PIV!A$19),ETAPP!A$1:A$32,0))</f>
        <v>000000B00A00000AA0D</v>
      </c>
      <c r="K38" s="475" t="str">
        <f t="shared" ca="1" si="2"/>
        <v>057,0-000000B00A00000AA0D</v>
      </c>
      <c r="L38" s="476">
        <f ca="1">COUNTIF(K$8:K$64,"&gt;="&amp;K38)</f>
        <v>31</v>
      </c>
      <c r="M38" s="476">
        <f>COUNTIF(F$8:F$64,"&gt;="&amp;F38)</f>
        <v>20</v>
      </c>
      <c r="N38" s="475" t="str">
        <f t="shared" ca="1" si="3"/>
        <v>057,0-000000B00A00000AA0D-020</v>
      </c>
      <c r="O38" s="477">
        <f ca="1">COUNTIF(N$8:N$64,"&lt;="&amp;N38)</f>
        <v>27</v>
      </c>
      <c r="P38" s="478" t="str">
        <f>IFERROR(INDEX('1'!C$300:C$400,MATCH("*"&amp;F38&amp;"*",'1'!B$300:B$400,0)),"  ")</f>
        <v xml:space="preserve">  </v>
      </c>
      <c r="Q38" s="479" t="str">
        <f>IFERROR(INDEX('2'!C$300:C$400,MATCH("*"&amp;F38&amp;"*",'2'!B$300:B$400,0)),"  ")</f>
        <v xml:space="preserve">  </v>
      </c>
      <c r="R38" s="479">
        <f>IFERROR(INDEX('3'!C$300:C$400,MATCH("*"&amp;F38&amp;"*",'3'!B$300:B$400,0)),"  ")</f>
        <v>20</v>
      </c>
      <c r="S38" s="479">
        <f>IFERROR(INDEX('4'!C$300:C$400,MATCH("*"&amp;F38&amp;"*",'4'!B$300:B$400,0)),"  ")</f>
        <v>14</v>
      </c>
      <c r="T38" s="479" t="str">
        <f>IFERROR(INDEX('5'!C$300:C$400,MATCH("*"&amp;F38&amp;"*",'5'!B$300:B$400,0)),"  ")</f>
        <v xml:space="preserve">  </v>
      </c>
      <c r="U38" s="479">
        <f>IFERROR(INDEX('6'!C$300:C$400,MATCH("*"&amp;F38&amp;"*",'6'!B$300:B$400,0)),"  ")</f>
        <v>20</v>
      </c>
      <c r="V38" s="479" t="str">
        <f ca="1">IFERROR(INDEX('7'!C$300:C$400,MATCH("*"&amp;F38&amp;"*",'7'!B$300:B$400,0)),"  ")</f>
        <v xml:space="preserve">  </v>
      </c>
      <c r="W38" s="479" t="str">
        <f>IFERROR(INDEX('8'!C$300:C$400,MATCH("*"&amp;F38&amp;"*",'8'!B$300:B$400,0)),"  ")</f>
        <v xml:space="preserve">  </v>
      </c>
      <c r="X38" s="479" t="str">
        <f>IFERROR(INDEX('9'!C$300:C$400,MATCH("*"&amp;F38&amp;"*",'9'!B$300:B$400,0)),"  ")</f>
        <v xml:space="preserve">  </v>
      </c>
      <c r="Y38" s="479" t="str">
        <f>IFERROR(INDEX('10'!C$300:C$400,MATCH("*"&amp;F38&amp;"*",'10'!B$300:B$400,0)),"  ")</f>
        <v xml:space="preserve">  </v>
      </c>
      <c r="Z38" s="478">
        <f>IFERROR(INDEX('11'!C$300:C$400,MATCH("*"&amp;F38&amp;"*",'11'!B$300:B$400,0)),"  ")</f>
        <v>1</v>
      </c>
      <c r="AA38" s="479">
        <f>IFERROR(INDEX('12'!C$300:C$400,MATCH("*"&amp;F38&amp;"*",'12'!B$300:B$400,0)),"  ")</f>
        <v>2</v>
      </c>
      <c r="AB38" s="479" t="str">
        <f>IFERROR(INDEX('13'!C$300:C$400,MATCH("*"&amp;F38&amp;"*",'13'!B$300:B$400,0)),"  ")</f>
        <v xml:space="preserve">  </v>
      </c>
      <c r="AC38" s="479" t="str">
        <f>IFERROR(INDEX('14'!C$300:C$400,MATCH("*"&amp;F38&amp;"*",'14'!B$300:B$400,0)),"  ")</f>
        <v xml:space="preserve">  </v>
      </c>
      <c r="AD38" s="481">
        <f t="shared" ca="1" si="4"/>
        <v>5</v>
      </c>
      <c r="AE38" s="481">
        <f t="shared" ca="1" si="5"/>
        <v>0</v>
      </c>
      <c r="AF38" s="481">
        <f t="shared" ca="1" si="6"/>
        <v>0</v>
      </c>
      <c r="AG38" s="482">
        <f t="shared" si="10"/>
        <v>1E-4</v>
      </c>
      <c r="AH38" s="482">
        <f t="shared" si="7"/>
        <v>2.0000000000000001E-4</v>
      </c>
      <c r="AI38" s="482">
        <f t="shared" ca="1" si="8"/>
        <v>5.0000000000000001E-4</v>
      </c>
      <c r="AJ38" s="482" t="e">
        <f t="shared" ca="1" si="9"/>
        <v>#VALUE!</v>
      </c>
      <c r="AK38" s="412"/>
    </row>
    <row r="39" spans="1:37" x14ac:dyDescent="0.2">
      <c r="A39" s="467" t="str">
        <f>IFERROR(RANK(B39,B$8:B$64,1),"")</f>
        <v/>
      </c>
      <c r="B39" s="468" t="str">
        <f t="shared" si="0"/>
        <v/>
      </c>
      <c r="C39" s="469">
        <f ca="1">IFERROR(RANK(D39,D$8:D$64,1),"")</f>
        <v>4</v>
      </c>
      <c r="D39" s="470">
        <f t="shared" ca="1" si="1"/>
        <v>32</v>
      </c>
      <c r="E39" s="471">
        <f ca="1">RANK(L39,L$8:L$64,1)</f>
        <v>32</v>
      </c>
      <c r="F39" s="487" t="s">
        <v>251</v>
      </c>
      <c r="G39" s="472"/>
      <c r="H39" s="492" t="s">
        <v>240</v>
      </c>
      <c r="I39" s="474">
        <f ca="1">(IF(COUNT(P39,R39,X39,Y39)&lt;3,SUM(P39,R39,X39,Y39),SUM(LARGE((P39,R39,X39,Y39),{1;2;3}))))+(IF(COUNT(Q39,S39,U39,W39)&lt;3,SUM(Q39,S39,U39,W39),SUM(LARGE((Q39,S39,U39,W39),{1;2;3}))))+(IF(COUNT(T39,V39,Z39,AA39,AB39,AC39)&lt;4,SUM(T39,V39,Z39,AA39,AB39,AC39),SUM(LARGE((T39,V39,Z39,AA39,AB39,AC39),{1;2;3;4}))))</f>
        <v>57</v>
      </c>
      <c r="J39" s="475" t="str">
        <f ca="1">INDEX(ETAPP!B$1:B$32,MATCH(COUNTIF(P39:AC39,PIV!A$1),ETAPP!A$1:A$32,0))&amp;INDEX(ETAPP!B$1:B$32,MATCH(COUNTIF(P39:AC39,PIV!A$2),ETAPP!A$1:A$32,0))&amp;INDEX(ETAPP!B$1:B$32,MATCH(COUNTIF(P39:AC39,PIV!A$3),ETAPP!A$1:A$32,0))&amp;INDEX(ETAPP!B$1:B$32,MATCH(COUNTIF(P39:AC39,PIV!A$4),ETAPP!A$1:A$32,0))&amp;INDEX(ETAPP!B$1:B$32,MATCH(COUNTIF(P39:AC39,PIV!A$5),ETAPP!A$1:A$32,0))&amp;INDEX(ETAPP!B$1:B$32,MATCH(COUNTIF(P39:AC39,PIV!A$6),ETAPP!A$1:A$32,0))&amp;INDEX(ETAPP!B$1:B$32,MATCH(COUNTIF(P39:AC39,PIV!A$7),ETAPP!A$1:A$32,0))&amp;INDEX(ETAPP!B$1:B$32,MATCH(COUNTIF(P39:AC39,PIV!A$8),ETAPP!A$1:A$32,0))&amp;INDEX(ETAPP!B$1:B$32,MATCH(COUNTIF(P39:AC39,PIV!A$9),ETAPP!A$1:A$32,0))&amp;INDEX(ETAPP!B$1:B$32,MATCH(COUNTIF(P39:AC39,PIV!A$10),ETAPP!A$1:A$32,0))&amp;INDEX(ETAPP!B$1:B$32,MATCH(COUNTIF(P39:AC39,PIV!A$11),ETAPP!A$1:A$32,0))&amp;INDEX(ETAPP!B$1:B$32,MATCH(COUNTIF(P39:AC39,PIV!A$12),ETAPP!A$1:A$32,0))&amp;INDEX(ETAPP!B$1:B$32,MATCH(COUNTIF(P39:AC39,PIV!A$13),ETAPP!A$1:A$32,0))&amp;INDEX(ETAPP!B$1:B$32,MATCH(COUNTIF(P39:AC39,PIV!A$14),ETAPP!A$1:A$32,0))&amp;INDEX(ETAPP!B$1:B$32,MATCH(COUNTIF(P39:AC39,PIV!A$15),ETAPP!A$1:A$32,0))&amp;INDEX(ETAPP!B$1:B$32,MATCH(COUNTIF(P39:AC39,PIV!A$16),ETAPP!A$1:A$32,0))&amp;INDEX(ETAPP!B$1:B$32,MATCH(COUNTIF(P39:AC39,PIV!A$17),ETAPP!A$1:A$32,0))&amp;INDEX(ETAPP!B$1:B$32,MATCH(COUNTIF(P39:AC39,PIV!A$18),ETAPP!A$1:A$32,0))&amp;INDEX(ETAPP!B$1:B$32,MATCH(COUNTIF(P39:AC39,PIV!A$19),ETAPP!A$1:A$32,0))</f>
        <v>000000AA000AA000A0D</v>
      </c>
      <c r="K39" s="475" t="str">
        <f t="shared" ca="1" si="2"/>
        <v>057,0-000000AA000AA000A0D</v>
      </c>
      <c r="L39" s="476">
        <f ca="1">COUNTIF(K$8:K$64,"&gt;="&amp;K39)</f>
        <v>32</v>
      </c>
      <c r="M39" s="476">
        <f>COUNTIF(F$8:F$64,"&gt;="&amp;F39)</f>
        <v>38</v>
      </c>
      <c r="N39" s="475" t="str">
        <f t="shared" ca="1" si="3"/>
        <v>057,0-000000AA000AA000A0D-038</v>
      </c>
      <c r="O39" s="477">
        <f ca="1">COUNTIF(N$8:N$64,"&lt;="&amp;N39)</f>
        <v>26</v>
      </c>
      <c r="P39" s="478" t="str">
        <f>IFERROR(INDEX('1'!C$300:C$400,MATCH("*"&amp;F39&amp;"*",'1'!B$300:B$400,0)),"  ")</f>
        <v xml:space="preserve">  </v>
      </c>
      <c r="Q39" s="479" t="str">
        <f>IFERROR(INDEX('2'!C$300:C$400,MATCH("*"&amp;F39&amp;"*",'2'!B$300:B$400,0)),"  ")</f>
        <v xml:space="preserve">  </v>
      </c>
      <c r="R39" s="479">
        <f>IFERROR(INDEX('3'!C$300:C$400,MATCH("*"&amp;F39&amp;"*",'3'!B$300:B$400,0)),"  ")</f>
        <v>20</v>
      </c>
      <c r="S39" s="479">
        <f>IFERROR(INDEX('4'!C$300:C$400,MATCH("*"&amp;F39&amp;"*",'4'!B$300:B$400,0)),"  ")</f>
        <v>10</v>
      </c>
      <c r="T39" s="479" t="str">
        <f>IFERROR(INDEX('5'!C$300:C$400,MATCH("*"&amp;F39&amp;"*",'5'!B$300:B$400,0)),"  ")</f>
        <v xml:space="preserve">  </v>
      </c>
      <c r="U39" s="479">
        <f>IFERROR(INDEX('6'!C$300:C$400,MATCH("*"&amp;F39&amp;"*",'6'!B$300:B$400,0)),"  ")</f>
        <v>18</v>
      </c>
      <c r="V39" s="479" t="str">
        <f ca="1">IFERROR(INDEX('7'!C$300:C$400,MATCH("*"&amp;F39&amp;"*",'7'!B$300:B$400,0)),"  ")</f>
        <v xml:space="preserve">  </v>
      </c>
      <c r="W39" s="479" t="str">
        <f>IFERROR(INDEX('8'!C$300:C$400,MATCH("*"&amp;F39&amp;"*",'8'!B$300:B$400,0)),"  ")</f>
        <v xml:space="preserve">  </v>
      </c>
      <c r="X39" s="479" t="str">
        <f>IFERROR(INDEX('9'!C$300:C$400,MATCH("*"&amp;F39&amp;"*",'9'!B$300:B$400,0)),"  ")</f>
        <v xml:space="preserve">  </v>
      </c>
      <c r="Y39" s="479" t="str">
        <f>IFERROR(INDEX('10'!C$300:C$400,MATCH("*"&amp;F39&amp;"*",'10'!B$300:B$400,0)),"  ")</f>
        <v xml:space="preserve">  </v>
      </c>
      <c r="Z39" s="478" t="str">
        <f>IFERROR(INDEX('11'!C$300:C$400,MATCH("*"&amp;F39&amp;"*",'11'!B$300:B$400,0)),"  ")</f>
        <v xml:space="preserve">  </v>
      </c>
      <c r="AA39" s="479">
        <f>IFERROR(INDEX('12'!C$300:C$400,MATCH("*"&amp;F39&amp;"*",'12'!B$300:B$400,0)),"  ")</f>
        <v>8</v>
      </c>
      <c r="AB39" s="479" t="str">
        <f>IFERROR(INDEX('13'!C$300:C$400,MATCH("*"&amp;F39&amp;"*",'13'!B$300:B$400,0)),"  ")</f>
        <v xml:space="preserve">  </v>
      </c>
      <c r="AC39" s="479">
        <f>IFERROR(INDEX('14'!C$300:C$400,MATCH("*"&amp;F39&amp;"*",'14'!B$300:B$400,0)),"  ")</f>
        <v>1</v>
      </c>
      <c r="AD39" s="481">
        <f t="shared" ca="1" si="4"/>
        <v>5</v>
      </c>
      <c r="AE39" s="481">
        <f t="shared" ca="1" si="5"/>
        <v>0</v>
      </c>
      <c r="AF39" s="481">
        <f t="shared" ca="1" si="6"/>
        <v>0</v>
      </c>
      <c r="AG39" s="482">
        <f t="shared" si="10"/>
        <v>1E-4</v>
      </c>
      <c r="AH39" s="482">
        <f t="shared" si="7"/>
        <v>2.0000000000000001E-4</v>
      </c>
      <c r="AI39" s="482">
        <f t="shared" ca="1" si="8"/>
        <v>5.0000000000000001E-4</v>
      </c>
      <c r="AJ39" s="482" t="e">
        <f t="shared" ca="1" si="9"/>
        <v>#VALUE!</v>
      </c>
      <c r="AK39" s="412"/>
    </row>
    <row r="40" spans="1:37" x14ac:dyDescent="0.2">
      <c r="A40" s="467" t="str">
        <f>IFERROR(RANK(B40,B$8:B$64,1),"")</f>
        <v/>
      </c>
      <c r="B40" s="468" t="str">
        <f t="shared" si="0"/>
        <v/>
      </c>
      <c r="C40" s="469" t="str">
        <f>IFERROR(RANK(D40,D$8:D$64,1),"")</f>
        <v/>
      </c>
      <c r="D40" s="470" t="str">
        <f t="shared" si="1"/>
        <v/>
      </c>
      <c r="E40" s="471">
        <f ca="1">RANK(L40,L$8:L$64,1)</f>
        <v>33</v>
      </c>
      <c r="F40" s="432" t="s">
        <v>252</v>
      </c>
      <c r="G40" s="472"/>
      <c r="H40" s="473"/>
      <c r="I40" s="474">
        <f ca="1">(IF(COUNT(P40,R40,X40,Y40)&lt;3,SUM(P40,R40,X40,Y40),SUM(LARGE((P40,R40,X40,Y40),{1;2;3}))))+(IF(COUNT(Q40,S40,U40,W40)&lt;3,SUM(Q40,S40,U40,W40),SUM(LARGE((Q40,S40,U40,W40),{1;2;3}))))+(IF(COUNT(T40,V40,Z40,AA40,AB40,AC40)&lt;4,SUM(T40,V40,Z40,AA40,AB40,AC40),SUM(LARGE((T40,V40,Z40,AA40,AB40,AC40),{1;2;3;4}))))</f>
        <v>55</v>
      </c>
      <c r="J40" s="475" t="str">
        <f ca="1">INDEX(ETAPP!B$1:B$32,MATCH(COUNTIF(P40:AC40,PIV!A$1),ETAPP!A$1:A$32,0))&amp;INDEX(ETAPP!B$1:B$32,MATCH(COUNTIF(P40:AC40,PIV!A$2),ETAPP!A$1:A$32,0))&amp;INDEX(ETAPP!B$1:B$32,MATCH(COUNTIF(P40:AC40,PIV!A$3),ETAPP!A$1:A$32,0))&amp;INDEX(ETAPP!B$1:B$32,MATCH(COUNTIF(P40:AC40,PIV!A$4),ETAPP!A$1:A$32,0))&amp;INDEX(ETAPP!B$1:B$32,MATCH(COUNTIF(P40:AC40,PIV!A$5),ETAPP!A$1:A$32,0))&amp;INDEX(ETAPP!B$1:B$32,MATCH(COUNTIF(P40:AC40,PIV!A$6),ETAPP!A$1:A$32,0))&amp;INDEX(ETAPP!B$1:B$32,MATCH(COUNTIF(P40:AC40,PIV!A$7),ETAPP!A$1:A$32,0))&amp;INDEX(ETAPP!B$1:B$32,MATCH(COUNTIF(P40:AC40,PIV!A$8),ETAPP!A$1:A$32,0))&amp;INDEX(ETAPP!B$1:B$32,MATCH(COUNTIF(P40:AC40,PIV!A$9),ETAPP!A$1:A$32,0))&amp;INDEX(ETAPP!B$1:B$32,MATCH(COUNTIF(P40:AC40,PIV!A$10),ETAPP!A$1:A$32,0))&amp;INDEX(ETAPP!B$1:B$32,MATCH(COUNTIF(P40:AC40,PIV!A$11),ETAPP!A$1:A$32,0))&amp;INDEX(ETAPP!B$1:B$32,MATCH(COUNTIF(P40:AC40,PIV!A$12),ETAPP!A$1:A$32,0))&amp;INDEX(ETAPP!B$1:B$32,MATCH(COUNTIF(P40:AC40,PIV!A$13),ETAPP!A$1:A$32,0))&amp;INDEX(ETAPP!B$1:B$32,MATCH(COUNTIF(P40:AC40,PIV!A$14),ETAPP!A$1:A$32,0))&amp;INDEX(ETAPP!B$1:B$32,MATCH(COUNTIF(P40:AC40,PIV!A$15),ETAPP!A$1:A$32,0))&amp;INDEX(ETAPP!B$1:B$32,MATCH(COUNTIF(P40:AC40,PIV!A$16),ETAPP!A$1:A$32,0))&amp;INDEX(ETAPP!B$1:B$32,MATCH(COUNTIF(P40:AC40,PIV!A$17),ETAPP!A$1:A$32,0))&amp;INDEX(ETAPP!B$1:B$32,MATCH(COUNTIF(P40:AC40,PIV!A$18),ETAPP!A$1:A$32,0))&amp;INDEX(ETAPP!B$1:B$32,MATCH(COUNTIF(P40:AC40,PIV!A$19),ETAPP!A$1:A$32,0))</f>
        <v>000A000A00000AA0A0D</v>
      </c>
      <c r="K40" s="475" t="str">
        <f t="shared" ca="1" si="2"/>
        <v>055,0-000A000A00000AA0A0D</v>
      </c>
      <c r="L40" s="476">
        <f ca="1">COUNTIF(K$8:K$64,"&gt;="&amp;K40)</f>
        <v>33</v>
      </c>
      <c r="M40" s="476">
        <f>COUNTIF(F$8:F$64,"&gt;="&amp;F40)</f>
        <v>34</v>
      </c>
      <c r="N40" s="475" t="str">
        <f t="shared" ca="1" si="3"/>
        <v>055,0-000A000A00000AA0A0D-034</v>
      </c>
      <c r="O40" s="477">
        <f ca="1">COUNTIF(N$8:N$64,"&lt;="&amp;N40)</f>
        <v>25</v>
      </c>
      <c r="P40" s="478" t="str">
        <f>IFERROR(INDEX('1'!C$300:C$400,MATCH("*"&amp;F40&amp;"*",'1'!B$300:B$400,0)),"  ")</f>
        <v xml:space="preserve">  </v>
      </c>
      <c r="Q40" s="479" t="str">
        <f>IFERROR(INDEX('2'!C$300:C$400,MATCH("*"&amp;F40&amp;"*",'2'!B$300:B$400,0)),"  ")</f>
        <v xml:space="preserve">  </v>
      </c>
      <c r="R40" s="479" t="str">
        <f>IFERROR(INDEX('3'!C$300:C$400,MATCH("*"&amp;F40&amp;"*",'3'!B$300:B$400,0)),"  ")</f>
        <v xml:space="preserve">  </v>
      </c>
      <c r="S40" s="479" t="str">
        <f>IFERROR(INDEX('4'!C$300:C$400,MATCH("*"&amp;F40&amp;"*",'4'!B$300:B$400,0)),"  ")</f>
        <v xml:space="preserve">  </v>
      </c>
      <c r="T40" s="479" t="str">
        <f>IFERROR(INDEX('5'!C$300:C$400,MATCH("*"&amp;F40&amp;"*",'5'!B$300:B$400,0)),"  ")</f>
        <v xml:space="preserve">  </v>
      </c>
      <c r="U40" s="479">
        <f>IFERROR(INDEX('6'!C$300:C$400,MATCH("*"&amp;F40&amp;"*",'6'!B$300:B$400,0)),"  ")</f>
        <v>6</v>
      </c>
      <c r="V40" s="479" t="str">
        <f ca="1">IFERROR(INDEX('7'!C$300:C$400,MATCH("*"&amp;F40&amp;"*",'7'!B$300:B$400,0)),"  ")</f>
        <v xml:space="preserve">  </v>
      </c>
      <c r="W40" s="479" t="str">
        <f>IFERROR(INDEX('8'!C$300:C$400,MATCH("*"&amp;F40&amp;"*",'8'!B$300:B$400,0)),"  ")</f>
        <v xml:space="preserve">  </v>
      </c>
      <c r="X40" s="479">
        <f>IFERROR(INDEX('9'!C$300:C$400,MATCH("*"&amp;F40&amp;"*",'9'!B$300:B$400,0)),"  ")</f>
        <v>26</v>
      </c>
      <c r="Y40" s="479" t="str">
        <f>IFERROR(INDEX('10'!C$300:C$400,MATCH("*"&amp;F40&amp;"*",'10'!B$300:B$400,0)),"  ")</f>
        <v xml:space="preserve">  </v>
      </c>
      <c r="Z40" s="478" t="str">
        <f>IFERROR(INDEX('11'!C$300:C$400,MATCH("*"&amp;F40&amp;"*",'11'!B$300:B$400,0)),"  ")</f>
        <v xml:space="preserve">  </v>
      </c>
      <c r="AA40" s="479">
        <f>IFERROR(INDEX('12'!C$300:C$400,MATCH("*"&amp;F40&amp;"*",'12'!B$300:B$400,0)),"  ")</f>
        <v>4</v>
      </c>
      <c r="AB40" s="479">
        <f>IFERROR(INDEX('13'!C$300:C$400,MATCH("*"&amp;F40&amp;"*",'13'!B$300:B$400,0)),"  ")</f>
        <v>18</v>
      </c>
      <c r="AC40" s="479">
        <f>IFERROR(INDEX('14'!C$300:C$400,MATCH("*"&amp;F40&amp;"*",'14'!B$300:B$400,0)),"  ")</f>
        <v>1</v>
      </c>
      <c r="AD40" s="481">
        <f t="shared" ca="1" si="4"/>
        <v>5</v>
      </c>
      <c r="AE40" s="481">
        <f t="shared" ca="1" si="5"/>
        <v>0</v>
      </c>
      <c r="AF40" s="481">
        <f t="shared" ca="1" si="6"/>
        <v>0</v>
      </c>
      <c r="AG40" s="482">
        <f t="shared" si="10"/>
        <v>1E-4</v>
      </c>
      <c r="AH40" s="482">
        <f t="shared" si="7"/>
        <v>2.0000000000000001E-4</v>
      </c>
      <c r="AI40" s="482">
        <f t="shared" ca="1" si="8"/>
        <v>5.0000000000000001E-4</v>
      </c>
      <c r="AJ40" s="482" t="e">
        <f t="shared" ca="1" si="9"/>
        <v>#VALUE!</v>
      </c>
      <c r="AK40" s="412"/>
    </row>
    <row r="41" spans="1:37" x14ac:dyDescent="0.2">
      <c r="A41" s="467">
        <f ca="1">IFERROR(RANK(B41,B$8:B$64,1),"")</f>
        <v>5</v>
      </c>
      <c r="B41" s="468">
        <f t="shared" ca="1" si="0"/>
        <v>35</v>
      </c>
      <c r="C41" s="469" t="str">
        <f>IFERROR(RANK(D41,D$8:D$64,1),"")</f>
        <v/>
      </c>
      <c r="D41" s="470" t="str">
        <f t="shared" si="1"/>
        <v/>
      </c>
      <c r="E41" s="471">
        <f ca="1">RANK(L41,L$8:L$64,1)</f>
        <v>34</v>
      </c>
      <c r="F41" s="432" t="s">
        <v>253</v>
      </c>
      <c r="G41" s="472" t="s">
        <v>234</v>
      </c>
      <c r="H41" s="473"/>
      <c r="I41" s="474">
        <f ca="1">(IF(COUNT(P41,R41,X41,Y41)&lt;3,SUM(P41,R41,X41,Y41),SUM(LARGE((P41,R41,X41,Y41),{1;2;3}))))+(IF(COUNT(Q41,S41,U41,W41)&lt;3,SUM(Q41,S41,U41,W41),SUM(LARGE((Q41,S41,U41,W41),{1;2;3}))))+(IF(COUNT(T41,V41,Z41,AA41,AB41,AC41)&lt;4,SUM(T41,V41,Z41,AA41,AB41,AC41),SUM(LARGE((T41,V41,Z41,AA41,AB41,AC41),{1;2;3;4}))))</f>
        <v>52</v>
      </c>
      <c r="J41" s="475" t="str">
        <f ca="1">INDEX(ETAPP!B$1:B$32,MATCH(COUNTIF(P41:AC41,PIV!A$1),ETAPP!A$1:A$32,0))&amp;INDEX(ETAPP!B$1:B$32,MATCH(COUNTIF(P41:AC41,PIV!A$2),ETAPP!A$1:A$32,0))&amp;INDEX(ETAPP!B$1:B$32,MATCH(COUNTIF(P41:AC41,PIV!A$3),ETAPP!A$1:A$32,0))&amp;INDEX(ETAPP!B$1:B$32,MATCH(COUNTIF(P41:AC41,PIV!A$4),ETAPP!A$1:A$32,0))&amp;INDEX(ETAPP!B$1:B$32,MATCH(COUNTIF(P41:AC41,PIV!A$5),ETAPP!A$1:A$32,0))&amp;INDEX(ETAPP!B$1:B$32,MATCH(COUNTIF(P41:AC41,PIV!A$6),ETAPP!A$1:A$32,0))&amp;INDEX(ETAPP!B$1:B$32,MATCH(COUNTIF(P41:AC41,PIV!A$7),ETAPP!A$1:A$32,0))&amp;INDEX(ETAPP!B$1:B$32,MATCH(COUNTIF(P41:AC41,PIV!A$8),ETAPP!A$1:A$32,0))&amp;INDEX(ETAPP!B$1:B$32,MATCH(COUNTIF(P41:AC41,PIV!A$9),ETAPP!A$1:A$32,0))&amp;INDEX(ETAPP!B$1:B$32,MATCH(COUNTIF(P41:AC41,PIV!A$10),ETAPP!A$1:A$32,0))&amp;INDEX(ETAPP!B$1:B$32,MATCH(COUNTIF(P41:AC41,PIV!A$11),ETAPP!A$1:A$32,0))&amp;INDEX(ETAPP!B$1:B$32,MATCH(COUNTIF(P41:AC41,PIV!A$12),ETAPP!A$1:A$32,0))&amp;INDEX(ETAPP!B$1:B$32,MATCH(COUNTIF(P41:AC41,PIV!A$13),ETAPP!A$1:A$32,0))&amp;INDEX(ETAPP!B$1:B$32,MATCH(COUNTIF(P41:AC41,PIV!A$14),ETAPP!A$1:A$32,0))&amp;INDEX(ETAPP!B$1:B$32,MATCH(COUNTIF(P41:AC41,PIV!A$15),ETAPP!A$1:A$32,0))&amp;INDEX(ETAPP!B$1:B$32,MATCH(COUNTIF(P41:AC41,PIV!A$16),ETAPP!A$1:A$32,0))&amp;INDEX(ETAPP!B$1:B$32,MATCH(COUNTIF(P41:AC41,PIV!A$17),ETAPP!A$1:A$32,0))&amp;INDEX(ETAPP!B$1:B$32,MATCH(COUNTIF(P41:AC41,PIV!A$18),ETAPP!A$1:A$32,0))&amp;INDEX(ETAPP!B$1:B$32,MATCH(COUNTIF(P41:AC41,PIV!A$19),ETAPP!A$1:A$32,0))</f>
        <v>00000B000000A00000F</v>
      </c>
      <c r="K41" s="475" t="str">
        <f t="shared" ca="1" si="2"/>
        <v>052,0-00000B000000A00000F</v>
      </c>
      <c r="L41" s="476">
        <f ca="1">COUNTIF(K$8:K$64,"&gt;="&amp;K41)</f>
        <v>35</v>
      </c>
      <c r="M41" s="476">
        <f>COUNTIF(F$8:F$64,"&gt;="&amp;F41)</f>
        <v>32</v>
      </c>
      <c r="N41" s="475" t="str">
        <f t="shared" ca="1" si="3"/>
        <v>052,0-00000B000000A00000F-032</v>
      </c>
      <c r="O41" s="477">
        <f ca="1">COUNTIF(N$8:N$64,"&lt;="&amp;N41)</f>
        <v>24</v>
      </c>
      <c r="P41" s="478">
        <f>IFERROR(INDEX('1'!C$300:C$400,MATCH("*"&amp;F41&amp;"*",'1'!B$300:B$400,0)),"  ")</f>
        <v>22</v>
      </c>
      <c r="Q41" s="479" t="str">
        <f>IFERROR(INDEX('2'!C$300:C$400,MATCH("*"&amp;F41&amp;"*",'2'!B$300:B$400,0)),"  ")</f>
        <v xml:space="preserve">  </v>
      </c>
      <c r="R41" s="479">
        <f>IFERROR(INDEX('3'!C$300:C$400,MATCH("*"&amp;F41&amp;"*",'3'!B$300:B$400,0)),"  ")</f>
        <v>22</v>
      </c>
      <c r="S41" s="479" t="str">
        <f>IFERROR(INDEX('4'!C$300:C$400,MATCH("*"&amp;F41&amp;"*",'4'!B$300:B$400,0)),"  ")</f>
        <v xml:space="preserve">  </v>
      </c>
      <c r="T41" s="479" t="str">
        <f>IFERROR(INDEX('5'!C$300:C$400,MATCH("*"&amp;F41&amp;"*",'5'!B$300:B$400,0)),"  ")</f>
        <v xml:space="preserve">  </v>
      </c>
      <c r="U41" s="479">
        <f>IFERROR(INDEX('6'!C$300:C$400,MATCH("*"&amp;F41&amp;"*",'6'!B$300:B$400,0)),"  ")</f>
        <v>8</v>
      </c>
      <c r="V41" s="479" t="str">
        <f ca="1">IFERROR(INDEX('7'!C$300:C$400,MATCH("*"&amp;F41&amp;"*",'7'!B$300:B$400,0)),"  ")</f>
        <v xml:space="preserve">  </v>
      </c>
      <c r="W41" s="479" t="str">
        <f>IFERROR(INDEX('8'!C$300:C$400,MATCH("*"&amp;F41&amp;"*",'8'!B$300:B$400,0)),"  ")</f>
        <v xml:space="preserve">  </v>
      </c>
      <c r="X41" s="479" t="str">
        <f>IFERROR(INDEX('9'!C$300:C$400,MATCH("*"&amp;F41&amp;"*",'9'!B$300:B$400,0)),"  ")</f>
        <v xml:space="preserve">  </v>
      </c>
      <c r="Y41" s="479" t="str">
        <f>IFERROR(INDEX('10'!C$300:C$400,MATCH("*"&amp;F41&amp;"*",'10'!B$300:B$400,0)),"  ")</f>
        <v xml:space="preserve">  </v>
      </c>
      <c r="Z41" s="478" t="str">
        <f>IFERROR(INDEX('11'!C$300:C$400,MATCH("*"&amp;F41&amp;"*",'11'!B$300:B$400,0)),"  ")</f>
        <v xml:space="preserve">  </v>
      </c>
      <c r="AA41" s="479" t="str">
        <f>IFERROR(INDEX('12'!C$300:C$400,MATCH("*"&amp;F41&amp;"*",'12'!B$300:B$400,0)),"  ")</f>
        <v xml:space="preserve">  </v>
      </c>
      <c r="AB41" s="479" t="str">
        <f>IFERROR(INDEX('13'!C$300:C$400,MATCH("*"&amp;F41&amp;"*",'13'!B$300:B$400,0)),"  ")</f>
        <v xml:space="preserve">  </v>
      </c>
      <c r="AC41" s="479" t="str">
        <f>IFERROR(INDEX('14'!C$300:C$400,MATCH("*"&amp;F41&amp;"*",'14'!B$300:B$400,0)),"  ")</f>
        <v xml:space="preserve">  </v>
      </c>
      <c r="AD41" s="481">
        <f t="shared" ca="1" si="4"/>
        <v>3</v>
      </c>
      <c r="AE41" s="481">
        <f t="shared" ca="1" si="5"/>
        <v>0</v>
      </c>
      <c r="AF41" s="481">
        <f t="shared" ca="1" si="6"/>
        <v>0</v>
      </c>
      <c r="AG41" s="482">
        <f t="shared" si="10"/>
        <v>8.9999999999999998E-4</v>
      </c>
      <c r="AH41" s="482">
        <f t="shared" si="7"/>
        <v>2.0000000000000001E-4</v>
      </c>
      <c r="AI41" s="482">
        <f t="shared" ca="1" si="8"/>
        <v>5.0000000000000001E-4</v>
      </c>
      <c r="AJ41" s="482" t="e">
        <f t="shared" ca="1" si="9"/>
        <v>#VALUE!</v>
      </c>
      <c r="AK41" s="412"/>
    </row>
    <row r="42" spans="1:37" x14ac:dyDescent="0.2">
      <c r="A42" s="467" t="str">
        <f>IFERROR(RANK(B42,B$8:B$64,1),"")</f>
        <v/>
      </c>
      <c r="B42" s="468" t="str">
        <f t="shared" si="0"/>
        <v/>
      </c>
      <c r="C42" s="469" t="str">
        <f>IFERROR(RANK(D42,D$8:D$64,1),"")</f>
        <v/>
      </c>
      <c r="D42" s="470" t="str">
        <f t="shared" si="1"/>
        <v/>
      </c>
      <c r="E42" s="471">
        <f ca="1">RANK(L42,L$8:L$64,1)</f>
        <v>34</v>
      </c>
      <c r="F42" s="432" t="s">
        <v>254</v>
      </c>
      <c r="G42" s="472"/>
      <c r="H42" s="473"/>
      <c r="I42" s="474">
        <f ca="1">(IF(COUNT(P42,R42,X42,Y42)&lt;3,SUM(P42,R42,X42,Y42),SUM(LARGE((P42,R42,X42,Y42),{1;2;3}))))+(IF(COUNT(Q42,S42,U42,W42)&lt;3,SUM(Q42,S42,U42,W42),SUM(LARGE((Q42,S42,U42,W42),{1;2;3}))))+(IF(COUNT(T42,V42,Z42,AA42,AB42,AC42)&lt;4,SUM(T42,V42,Z42,AA42,AB42,AC42),SUM(LARGE((T42,V42,Z42,AA42,AB42,AC42),{1;2;3;4}))))</f>
        <v>52</v>
      </c>
      <c r="J42" s="475" t="str">
        <f ca="1">INDEX(ETAPP!B$1:B$32,MATCH(COUNTIF(P42:AC42,PIV!A$1),ETAPP!A$1:A$32,0))&amp;INDEX(ETAPP!B$1:B$32,MATCH(COUNTIF(P42:AC42,PIV!A$2),ETAPP!A$1:A$32,0))&amp;INDEX(ETAPP!B$1:B$32,MATCH(COUNTIF(P42:AC42,PIV!A$3),ETAPP!A$1:A$32,0))&amp;INDEX(ETAPP!B$1:B$32,MATCH(COUNTIF(P42:AC42,PIV!A$4),ETAPP!A$1:A$32,0))&amp;INDEX(ETAPP!B$1:B$32,MATCH(COUNTIF(P42:AC42,PIV!A$5),ETAPP!A$1:A$32,0))&amp;INDEX(ETAPP!B$1:B$32,MATCH(COUNTIF(P42:AC42,PIV!A$6),ETAPP!A$1:A$32,0))&amp;INDEX(ETAPP!B$1:B$32,MATCH(COUNTIF(P42:AC42,PIV!A$7),ETAPP!A$1:A$32,0))&amp;INDEX(ETAPP!B$1:B$32,MATCH(COUNTIF(P42:AC42,PIV!A$8),ETAPP!A$1:A$32,0))&amp;INDEX(ETAPP!B$1:B$32,MATCH(COUNTIF(P42:AC42,PIV!A$9),ETAPP!A$1:A$32,0))&amp;INDEX(ETAPP!B$1:B$32,MATCH(COUNTIF(P42:AC42,PIV!A$10),ETAPP!A$1:A$32,0))&amp;INDEX(ETAPP!B$1:B$32,MATCH(COUNTIF(P42:AC42,PIV!A$11),ETAPP!A$1:A$32,0))&amp;INDEX(ETAPP!B$1:B$32,MATCH(COUNTIF(P42:AC42,PIV!A$12),ETAPP!A$1:A$32,0))&amp;INDEX(ETAPP!B$1:B$32,MATCH(COUNTIF(P42:AC42,PIV!A$13),ETAPP!A$1:A$32,0))&amp;INDEX(ETAPP!B$1:B$32,MATCH(COUNTIF(P42:AC42,PIV!A$14),ETAPP!A$1:A$32,0))&amp;INDEX(ETAPP!B$1:B$32,MATCH(COUNTIF(P42:AC42,PIV!A$15),ETAPP!A$1:A$32,0))&amp;INDEX(ETAPP!B$1:B$32,MATCH(COUNTIF(P42:AC42,PIV!A$16),ETAPP!A$1:A$32,0))&amp;INDEX(ETAPP!B$1:B$32,MATCH(COUNTIF(P42:AC42,PIV!A$17),ETAPP!A$1:A$32,0))&amp;INDEX(ETAPP!B$1:B$32,MATCH(COUNTIF(P42:AC42,PIV!A$18),ETAPP!A$1:A$32,0))&amp;INDEX(ETAPP!B$1:B$32,MATCH(COUNTIF(P42:AC42,PIV!A$19),ETAPP!A$1:A$32,0))</f>
        <v>00000B000000A00000F</v>
      </c>
      <c r="K42" s="475" t="str">
        <f t="shared" ca="1" si="2"/>
        <v>052,0-00000B000000A00000F</v>
      </c>
      <c r="L42" s="476">
        <f ca="1">COUNTIF(K$8:K$64,"&gt;="&amp;K42)</f>
        <v>35</v>
      </c>
      <c r="M42" s="476">
        <f>COUNTIF(F$8:F$64,"&gt;="&amp;F42)</f>
        <v>5</v>
      </c>
      <c r="N42" s="475" t="str">
        <f t="shared" ca="1" si="3"/>
        <v>052,0-00000B000000A00000F-005</v>
      </c>
      <c r="O42" s="477">
        <f ca="1">COUNTIF(N$8:N$64,"&lt;="&amp;N42)</f>
        <v>23</v>
      </c>
      <c r="P42" s="478">
        <f>IFERROR(INDEX('1'!C$300:C$400,MATCH("*"&amp;F42&amp;"*",'1'!B$300:B$400,0)),"  ")</f>
        <v>22</v>
      </c>
      <c r="Q42" s="479" t="str">
        <f>IFERROR(INDEX('2'!C$300:C$400,MATCH("*"&amp;F42&amp;"*",'2'!B$300:B$400,0)),"  ")</f>
        <v xml:space="preserve">  </v>
      </c>
      <c r="R42" s="479">
        <f>IFERROR(INDEX('3'!C$300:C$400,MATCH("*"&amp;F42&amp;"*",'3'!B$300:B$400,0)),"  ")</f>
        <v>22</v>
      </c>
      <c r="S42" s="479" t="str">
        <f>IFERROR(INDEX('4'!C$300:C$400,MATCH("*"&amp;F42&amp;"*",'4'!B$300:B$400,0)),"  ")</f>
        <v xml:space="preserve">  </v>
      </c>
      <c r="T42" s="479" t="str">
        <f>IFERROR(INDEX('5'!C$300:C$400,MATCH("*"&amp;F42&amp;"*",'5'!B$300:B$400,0)),"  ")</f>
        <v xml:space="preserve">  </v>
      </c>
      <c r="U42" s="479">
        <f>IFERROR(INDEX('6'!C$300:C$400,MATCH("*"&amp;F42&amp;"*",'6'!B$300:B$400,0)),"  ")</f>
        <v>8</v>
      </c>
      <c r="V42" s="479" t="str">
        <f ca="1">IFERROR(INDEX('7'!C$300:C$400,MATCH("*"&amp;F42&amp;"*",'7'!B$300:B$400,0)),"  ")</f>
        <v xml:space="preserve">  </v>
      </c>
      <c r="W42" s="479" t="str">
        <f>IFERROR(INDEX('8'!C$300:C$400,MATCH("*"&amp;F42&amp;"*",'8'!B$300:B$400,0)),"  ")</f>
        <v xml:space="preserve">  </v>
      </c>
      <c r="X42" s="479" t="str">
        <f>IFERROR(INDEX('9'!C$300:C$400,MATCH("*"&amp;F42&amp;"*",'9'!B$300:B$400,0)),"  ")</f>
        <v xml:space="preserve">  </v>
      </c>
      <c r="Y42" s="479" t="str">
        <f>IFERROR(INDEX('10'!C$300:C$400,MATCH("*"&amp;F42&amp;"*",'10'!B$300:B$400,0)),"  ")</f>
        <v xml:space="preserve">  </v>
      </c>
      <c r="Z42" s="478" t="str">
        <f>IFERROR(INDEX('11'!C$300:C$400,MATCH("*"&amp;F42&amp;"*",'11'!B$300:B$400,0)),"  ")</f>
        <v xml:space="preserve">  </v>
      </c>
      <c r="AA42" s="479" t="str">
        <f>IFERROR(INDEX('12'!C$300:C$400,MATCH("*"&amp;F42&amp;"*",'12'!B$300:B$400,0)),"  ")</f>
        <v xml:space="preserve">  </v>
      </c>
      <c r="AB42" s="479" t="str">
        <f>IFERROR(INDEX('13'!C$300:C$400,MATCH("*"&amp;F42&amp;"*",'13'!B$300:B$400,0)),"  ")</f>
        <v xml:space="preserve">  </v>
      </c>
      <c r="AC42" s="479" t="str">
        <f>IFERROR(INDEX('14'!C$300:C$400,MATCH("*"&amp;F42&amp;"*",'14'!B$300:B$400,0)),"  ")</f>
        <v xml:space="preserve">  </v>
      </c>
      <c r="AD42" s="481">
        <f t="shared" ca="1" si="4"/>
        <v>3</v>
      </c>
      <c r="AE42" s="481">
        <f t="shared" ca="1" si="5"/>
        <v>0</v>
      </c>
      <c r="AF42" s="481">
        <f t="shared" ca="1" si="6"/>
        <v>0</v>
      </c>
      <c r="AG42" s="482">
        <f t="shared" si="10"/>
        <v>8.9999999999999998E-4</v>
      </c>
      <c r="AH42" s="482">
        <f t="shared" si="7"/>
        <v>2.0000000000000001E-4</v>
      </c>
      <c r="AI42" s="482">
        <f t="shared" ca="1" si="8"/>
        <v>5.0000000000000001E-4</v>
      </c>
      <c r="AJ42" s="482" t="e">
        <f t="shared" ca="1" si="9"/>
        <v>#VALUE!</v>
      </c>
      <c r="AK42" s="412"/>
    </row>
    <row r="43" spans="1:37" x14ac:dyDescent="0.2">
      <c r="A43" s="467" t="str">
        <f>IFERROR(RANK(B43,B$8:B$64,1),"")</f>
        <v/>
      </c>
      <c r="B43" s="468" t="str">
        <f t="shared" si="0"/>
        <v/>
      </c>
      <c r="C43" s="469" t="str">
        <f>IFERROR(RANK(D43,D$8:D$64,1),"")</f>
        <v/>
      </c>
      <c r="D43" s="470" t="str">
        <f t="shared" si="1"/>
        <v/>
      </c>
      <c r="E43" s="471">
        <f ca="1">RANK(L43,L$8:L$64,1)</f>
        <v>36</v>
      </c>
      <c r="F43" s="487" t="s">
        <v>255</v>
      </c>
      <c r="G43" s="472"/>
      <c r="H43" s="473"/>
      <c r="I43" s="474">
        <f ca="1">(IF(COUNT(P43,R43,X43,Y43)&lt;3,SUM(P43,R43,X43,Y43),SUM(LARGE((P43,R43,X43,Y43),{1;2;3}))))+(IF(COUNT(Q43,S43,U43,W43)&lt;3,SUM(Q43,S43,U43,W43),SUM(LARGE((Q43,S43,U43,W43),{1;2;3}))))+(IF(COUNT(T43,V43,Z43,AA43,AB43,AC43)&lt;4,SUM(T43,V43,Z43,AA43,AB43,AC43),SUM(LARGE((T43,V43,Z43,AA43,AB43,AC43),{1;2;3;4}))))</f>
        <v>51</v>
      </c>
      <c r="J43" s="475" t="str">
        <f ca="1">INDEX(ETAPP!B$1:B$32,MATCH(COUNTIF(P43:AC43,PIV!A$1),ETAPP!A$1:A$32,0))&amp;INDEX(ETAPP!B$1:B$32,MATCH(COUNTIF(P43:AC43,PIV!A$2),ETAPP!A$1:A$32,0))&amp;INDEX(ETAPP!B$1:B$32,MATCH(COUNTIF(P43:AC43,PIV!A$3),ETAPP!A$1:A$32,0))&amp;INDEX(ETAPP!B$1:B$32,MATCH(COUNTIF(P43:AC43,PIV!A$4),ETAPP!A$1:A$32,0))&amp;INDEX(ETAPP!B$1:B$32,MATCH(COUNTIF(P43:AC43,PIV!A$5),ETAPP!A$1:A$32,0))&amp;INDEX(ETAPP!B$1:B$32,MATCH(COUNTIF(P43:AC43,PIV!A$6),ETAPP!A$1:A$32,0))&amp;INDEX(ETAPP!B$1:B$32,MATCH(COUNTIF(P43:AC43,PIV!A$7),ETAPP!A$1:A$32,0))&amp;INDEX(ETAPP!B$1:B$32,MATCH(COUNTIF(P43:AC43,PIV!A$8),ETAPP!A$1:A$32,0))&amp;INDEX(ETAPP!B$1:B$32,MATCH(COUNTIF(P43:AC43,PIV!A$9),ETAPP!A$1:A$32,0))&amp;INDEX(ETAPP!B$1:B$32,MATCH(COUNTIF(P43:AC43,PIV!A$10),ETAPP!A$1:A$32,0))&amp;INDEX(ETAPP!B$1:B$32,MATCH(COUNTIF(P43:AC43,PIV!A$11),ETAPP!A$1:A$32,0))&amp;INDEX(ETAPP!B$1:B$32,MATCH(COUNTIF(P43:AC43,PIV!A$12),ETAPP!A$1:A$32,0))&amp;INDEX(ETAPP!B$1:B$32,MATCH(COUNTIF(P43:AC43,PIV!A$13),ETAPP!A$1:A$32,0))&amp;INDEX(ETAPP!B$1:B$32,MATCH(COUNTIF(P43:AC43,PIV!A$14),ETAPP!A$1:A$32,0))&amp;INDEX(ETAPP!B$1:B$32,MATCH(COUNTIF(P43:AC43,PIV!A$15),ETAPP!A$1:A$32,0))&amp;INDEX(ETAPP!B$1:B$32,MATCH(COUNTIF(P43:AC43,PIV!A$16),ETAPP!A$1:A$32,0))&amp;INDEX(ETAPP!B$1:B$32,MATCH(COUNTIF(P43:AC43,PIV!A$17),ETAPP!A$1:A$32,0))&amp;INDEX(ETAPP!B$1:B$32,MATCH(COUNTIF(P43:AC43,PIV!A$18),ETAPP!A$1:A$32,0))&amp;INDEX(ETAPP!B$1:B$32,MATCH(COUNTIF(P43:AC43,PIV!A$19),ETAPP!A$1:A$32,0))</f>
        <v>000000A000B00A00A0D</v>
      </c>
      <c r="K43" s="475" t="str">
        <f t="shared" ca="1" si="2"/>
        <v>051,0-000000A000B00A00A0D</v>
      </c>
      <c r="L43" s="476">
        <f ca="1">COUNTIF(K$8:K$64,"&gt;="&amp;K43)</f>
        <v>36</v>
      </c>
      <c r="M43" s="476">
        <f>COUNTIF(F$8:F$64,"&gt;="&amp;F43)</f>
        <v>44</v>
      </c>
      <c r="N43" s="475" t="str">
        <f t="shared" ca="1" si="3"/>
        <v>051,0-000000A000B00A00A0D-044</v>
      </c>
      <c r="O43" s="477">
        <f ca="1">COUNTIF(N$8:N$64,"&lt;="&amp;N43)</f>
        <v>22</v>
      </c>
      <c r="P43" s="478" t="str">
        <f>IFERROR(INDEX('1'!C$300:C$400,MATCH("*"&amp;F43&amp;"*",'1'!B$300:B$400,0)),"  ")</f>
        <v xml:space="preserve">  </v>
      </c>
      <c r="Q43" s="479">
        <f>IFERROR(INDEX('2'!C$300:C$400,MATCH("*"&amp;F43&amp;"*",'2'!B$300:B$400,0)),"  ")</f>
        <v>12</v>
      </c>
      <c r="R43" s="479" t="str">
        <f>IFERROR(INDEX('3'!C$300:C$400,MATCH("*"&amp;F43&amp;"*",'3'!B$300:B$400,0)),"  ")</f>
        <v xml:space="preserve">  </v>
      </c>
      <c r="S43" s="479">
        <f>IFERROR(INDEX('4'!C$300:C$400,MATCH("*"&amp;F43&amp;"*",'4'!B$300:B$400,0)),"  ")</f>
        <v>12</v>
      </c>
      <c r="T43" s="479" t="str">
        <f>IFERROR(INDEX('5'!C$300:C$400,MATCH("*"&amp;F43&amp;"*",'5'!B$300:B$400,0)),"  ")</f>
        <v xml:space="preserve">  </v>
      </c>
      <c r="U43" s="479" t="str">
        <f>IFERROR(INDEX('6'!C$300:C$400,MATCH("*"&amp;F43&amp;"*",'6'!B$300:B$400,0)),"  ")</f>
        <v xml:space="preserve">  </v>
      </c>
      <c r="V43" s="479" t="str">
        <f ca="1">IFERROR(INDEX('7'!C$300:C$400,MATCH("*"&amp;F43&amp;"*",'7'!B$300:B$400,0)),"  ")</f>
        <v xml:space="preserve">  </v>
      </c>
      <c r="W43" s="479" t="str">
        <f>IFERROR(INDEX('8'!C$300:C$400,MATCH("*"&amp;F43&amp;"*",'8'!B$300:B$400,0)),"  ")</f>
        <v xml:space="preserve">  </v>
      </c>
      <c r="X43" s="479" t="str">
        <f>IFERROR(INDEX('9'!C$300:C$400,MATCH("*"&amp;F43&amp;"*",'9'!B$300:B$400,0)),"  ")</f>
        <v xml:space="preserve">  </v>
      </c>
      <c r="Y43" s="479" t="str">
        <f>IFERROR(INDEX('10'!C$300:C$400,MATCH("*"&amp;F43&amp;"*",'10'!B$300:B$400,0)),"  ")</f>
        <v xml:space="preserve">  </v>
      </c>
      <c r="Z43" s="478">
        <f>IFERROR(INDEX('11'!C$300:C$400,MATCH("*"&amp;F43&amp;"*",'11'!B$300:B$400,0)),"  ")</f>
        <v>1</v>
      </c>
      <c r="AA43" s="479" t="str">
        <f>IFERROR(INDEX('12'!C$300:C$400,MATCH("*"&amp;F43&amp;"*",'12'!B$300:B$400,0)),"  ")</f>
        <v xml:space="preserve">  </v>
      </c>
      <c r="AB43" s="479">
        <f>IFERROR(INDEX('13'!C$300:C$400,MATCH("*"&amp;F43&amp;"*",'13'!B$300:B$400,0)),"  ")</f>
        <v>6</v>
      </c>
      <c r="AC43" s="479">
        <f>IFERROR(INDEX('14'!C$300:C$400,MATCH("*"&amp;F43&amp;"*",'14'!B$300:B$400,0)),"  ")</f>
        <v>20</v>
      </c>
      <c r="AD43" s="481">
        <f t="shared" ca="1" si="4"/>
        <v>5</v>
      </c>
      <c r="AE43" s="481">
        <f t="shared" ca="1" si="5"/>
        <v>0</v>
      </c>
      <c r="AF43" s="481">
        <f t="shared" ca="1" si="6"/>
        <v>0</v>
      </c>
      <c r="AG43" s="482">
        <f t="shared" si="10"/>
        <v>1E-4</v>
      </c>
      <c r="AH43" s="482">
        <f t="shared" si="7"/>
        <v>5.9999999999999995E-4</v>
      </c>
      <c r="AI43" s="482">
        <f t="shared" ca="1" si="8"/>
        <v>5.0000000000000001E-4</v>
      </c>
      <c r="AJ43" s="482" t="e">
        <f t="shared" ca="1" si="9"/>
        <v>#VALUE!</v>
      </c>
      <c r="AK43" s="412"/>
    </row>
    <row r="44" spans="1:37" x14ac:dyDescent="0.2">
      <c r="A44" s="467" t="str">
        <f>IFERROR(RANK(B44,B$8:B$64,1),"")</f>
        <v/>
      </c>
      <c r="B44" s="468" t="str">
        <f t="shared" si="0"/>
        <v/>
      </c>
      <c r="C44" s="469" t="str">
        <f>IFERROR(RANK(D44,D$8:D$64,1),"")</f>
        <v/>
      </c>
      <c r="D44" s="470" t="str">
        <f t="shared" si="1"/>
        <v/>
      </c>
      <c r="E44" s="471">
        <f ca="1">RANK(L44,L$8:L$64,1)</f>
        <v>37</v>
      </c>
      <c r="F44" s="487" t="s">
        <v>256</v>
      </c>
      <c r="G44" s="472"/>
      <c r="H44" s="473"/>
      <c r="I44" s="474">
        <f ca="1">(IF(COUNT(P44,R44,X44,Y44)&lt;3,SUM(P44,R44,X44,Y44),SUM(LARGE((P44,R44,X44,Y44),{1;2;3}))))+(IF(COUNT(Q44,S44,U44,W44)&lt;3,SUM(Q44,S44,U44,W44),SUM(LARGE((Q44,S44,U44,W44),{1;2;3}))))+(IF(COUNT(T44,V44,Z44,AA44,AB44,AC44)&lt;4,SUM(T44,V44,Z44,AA44,AB44,AC44),SUM(LARGE((T44,V44,Z44,AA44,AB44,AC44),{1;2;3;4}))))</f>
        <v>48</v>
      </c>
      <c r="J44" s="475" t="str">
        <f ca="1">INDEX(ETAPP!B$1:B$32,MATCH(COUNTIF(P44:AC44,PIV!A$1),ETAPP!A$1:A$32,0))&amp;INDEX(ETAPP!B$1:B$32,MATCH(COUNTIF(P44:AC44,PIV!A$2),ETAPP!A$1:A$32,0))&amp;INDEX(ETAPP!B$1:B$32,MATCH(COUNTIF(P44:AC44,PIV!A$3),ETAPP!A$1:A$32,0))&amp;INDEX(ETAPP!B$1:B$32,MATCH(COUNTIF(P44:AC44,PIV!A$4),ETAPP!A$1:A$32,0))&amp;INDEX(ETAPP!B$1:B$32,MATCH(COUNTIF(P44:AC44,PIV!A$5),ETAPP!A$1:A$32,0))&amp;INDEX(ETAPP!B$1:B$32,MATCH(COUNTIF(P44:AC44,PIV!A$6),ETAPP!A$1:A$32,0))&amp;INDEX(ETAPP!B$1:B$32,MATCH(COUNTIF(P44:AC44,PIV!A$7),ETAPP!A$1:A$32,0))&amp;INDEX(ETAPP!B$1:B$32,MATCH(COUNTIF(P44:AC44,PIV!A$8),ETAPP!A$1:A$32,0))&amp;INDEX(ETAPP!B$1:B$32,MATCH(COUNTIF(P44:AC44,PIV!A$9),ETAPP!A$1:A$32,0))&amp;INDEX(ETAPP!B$1:B$32,MATCH(COUNTIF(P44:AC44,PIV!A$10),ETAPP!A$1:A$32,0))&amp;INDEX(ETAPP!B$1:B$32,MATCH(COUNTIF(P44:AC44,PIV!A$11),ETAPP!A$1:A$32,0))&amp;INDEX(ETAPP!B$1:B$32,MATCH(COUNTIF(P44:AC44,PIV!A$12),ETAPP!A$1:A$32,0))&amp;INDEX(ETAPP!B$1:B$32,MATCH(COUNTIF(P44:AC44,PIV!A$13),ETAPP!A$1:A$32,0))&amp;INDEX(ETAPP!B$1:B$32,MATCH(COUNTIF(P44:AC44,PIV!A$14),ETAPP!A$1:A$32,0))&amp;INDEX(ETAPP!B$1:B$32,MATCH(COUNTIF(P44:AC44,PIV!A$15),ETAPP!A$1:A$32,0))&amp;INDEX(ETAPP!B$1:B$32,MATCH(COUNTIF(P44:AC44,PIV!A$16),ETAPP!A$1:A$32,0))&amp;INDEX(ETAPP!B$1:B$32,MATCH(COUNTIF(P44:AC44,PIV!A$17),ETAPP!A$1:A$32,0))&amp;INDEX(ETAPP!B$1:B$32,MATCH(COUNTIF(P44:AC44,PIV!A$18),ETAPP!A$1:A$32,0))&amp;INDEX(ETAPP!B$1:B$32,MATCH(COUNTIF(P44:AC44,PIV!A$19),ETAPP!A$1:A$32,0))</f>
        <v>0000B0000000000000G</v>
      </c>
      <c r="K44" s="475" t="str">
        <f t="shared" ca="1" si="2"/>
        <v>048,0-0000B0000000000000G</v>
      </c>
      <c r="L44" s="476">
        <f ca="1">COUNTIF(K$8:K$64,"&gt;="&amp;K44)</f>
        <v>37</v>
      </c>
      <c r="M44" s="476">
        <f>COUNTIF(F$8:F$64,"&gt;="&amp;F44)</f>
        <v>6</v>
      </c>
      <c r="N44" s="475" t="str">
        <f t="shared" ca="1" si="3"/>
        <v>048,0-0000B0000000000000G-006</v>
      </c>
      <c r="O44" s="477">
        <f ca="1">COUNTIF(N$8:N$64,"&lt;="&amp;N44)</f>
        <v>21</v>
      </c>
      <c r="P44" s="478" t="str">
        <f>IFERROR(INDEX('1'!C$300:C$400,MATCH("*"&amp;F44&amp;"*",'1'!B$300:B$400,0)),"  ")</f>
        <v xml:space="preserve">  </v>
      </c>
      <c r="Q44" s="479" t="str">
        <f>IFERROR(INDEX('2'!C$300:C$400,MATCH("*"&amp;F44&amp;"*",'2'!B$300:B$400,0)),"  ")</f>
        <v xml:space="preserve">  </v>
      </c>
      <c r="R44" s="479" t="str">
        <f>IFERROR(INDEX('3'!C$300:C$400,MATCH("*"&amp;F44&amp;"*",'3'!B$300:B$400,0)),"  ")</f>
        <v xml:space="preserve">  </v>
      </c>
      <c r="S44" s="479" t="str">
        <f>IFERROR(INDEX('4'!C$300:C$400,MATCH("*"&amp;F44&amp;"*",'4'!B$300:B$400,0)),"  ")</f>
        <v xml:space="preserve">  </v>
      </c>
      <c r="T44" s="479" t="str">
        <f>IFERROR(INDEX('5'!C$300:C$400,MATCH("*"&amp;F44&amp;"*",'5'!B$300:B$400,0)),"  ")</f>
        <v xml:space="preserve">  </v>
      </c>
      <c r="U44" s="479" t="str">
        <f>IFERROR(INDEX('6'!C$300:C$400,MATCH("*"&amp;F44&amp;"*",'6'!B$300:B$400,0)),"  ")</f>
        <v xml:space="preserve">  </v>
      </c>
      <c r="V44" s="479" t="str">
        <f ca="1">IFERROR(INDEX('7'!C$300:C$400,MATCH("*"&amp;F44&amp;"*",'7'!B$300:B$400,0)),"  ")</f>
        <v xml:space="preserve">  </v>
      </c>
      <c r="W44" s="479" t="str">
        <f>IFERROR(INDEX('8'!C$300:C$400,MATCH("*"&amp;F44&amp;"*",'8'!B$300:B$400,0)),"  ")</f>
        <v xml:space="preserve">  </v>
      </c>
      <c r="X44" s="479">
        <f>IFERROR(INDEX('9'!C$300:C$400,MATCH("*"&amp;F44&amp;"*",'9'!B$300:B$400,0)),"  ")</f>
        <v>24</v>
      </c>
      <c r="Y44" s="479">
        <f>IFERROR(INDEX('10'!C$300:C$400,MATCH("*"&amp;F44&amp;"*",'10'!B$300:B$400,0)),"  ")</f>
        <v>24</v>
      </c>
      <c r="Z44" s="478" t="str">
        <f>IFERROR(INDEX('11'!C$300:C$400,MATCH("*"&amp;F44&amp;"*",'11'!B$300:B$400,0)),"  ")</f>
        <v xml:space="preserve">  </v>
      </c>
      <c r="AA44" s="479" t="str">
        <f>IFERROR(INDEX('12'!C$300:C$400,MATCH("*"&amp;F44&amp;"*",'12'!B$300:B$400,0)),"  ")</f>
        <v xml:space="preserve">  </v>
      </c>
      <c r="AB44" s="479" t="str">
        <f>IFERROR(INDEX('13'!C$300:C$400,MATCH("*"&amp;F44&amp;"*",'13'!B$300:B$400,0)),"  ")</f>
        <v xml:space="preserve">  </v>
      </c>
      <c r="AC44" s="479" t="str">
        <f>IFERROR(INDEX('14'!C$300:C$400,MATCH("*"&amp;F44&amp;"*",'14'!B$300:B$400,0)),"  ")</f>
        <v xml:space="preserve">  </v>
      </c>
      <c r="AD44" s="481">
        <f t="shared" ca="1" si="4"/>
        <v>2</v>
      </c>
      <c r="AE44" s="481">
        <f t="shared" ca="1" si="5"/>
        <v>0</v>
      </c>
      <c r="AF44" s="481">
        <f t="shared" ca="1" si="6"/>
        <v>0</v>
      </c>
      <c r="AG44" s="482">
        <f t="shared" si="10"/>
        <v>1E-4</v>
      </c>
      <c r="AH44" s="482">
        <f t="shared" si="7"/>
        <v>2.0000000000000001E-4</v>
      </c>
      <c r="AI44" s="482">
        <f t="shared" ca="1" si="8"/>
        <v>5.0000000000000001E-4</v>
      </c>
      <c r="AJ44" s="482" t="e">
        <f t="shared" ca="1" si="9"/>
        <v>#VALUE!</v>
      </c>
      <c r="AK44" s="412"/>
    </row>
    <row r="45" spans="1:37" x14ac:dyDescent="0.2">
      <c r="A45" s="467">
        <f ca="1">IFERROR(RANK(B45,B$8:B$64,1),"")</f>
        <v>6</v>
      </c>
      <c r="B45" s="468">
        <f t="shared" ca="1" si="0"/>
        <v>38</v>
      </c>
      <c r="C45" s="469" t="str">
        <f>IFERROR(RANK(D45,D$8:D$64,1),"")</f>
        <v/>
      </c>
      <c r="D45" s="470" t="str">
        <f t="shared" si="1"/>
        <v/>
      </c>
      <c r="E45" s="471">
        <f ca="1">RANK(L45,L$8:L$64,1)</f>
        <v>38</v>
      </c>
      <c r="F45" s="487" t="s">
        <v>257</v>
      </c>
      <c r="G45" s="472" t="s">
        <v>234</v>
      </c>
      <c r="H45" s="473"/>
      <c r="I45" s="474">
        <f ca="1">(IF(COUNT(P45,R45,X45,Y45)&lt;3,SUM(P45,R45,X45,Y45),SUM(LARGE((P45,R45,X45,Y45),{1;2;3}))))+(IF(COUNT(Q45,S45,U45,W45)&lt;3,SUM(Q45,S45,U45,W45),SUM(LARGE((Q45,S45,U45,W45),{1;2;3}))))+(IF(COUNT(T45,V45,Z45,AA45,AB45,AC45)&lt;4,SUM(T45,V45,Z45,AA45,AB45,AC45),SUM(LARGE((T45,V45,Z45,AA45,AB45,AC45),{1;2;3;4}))))</f>
        <v>46</v>
      </c>
      <c r="J45" s="475" t="str">
        <f ca="1">INDEX(ETAPP!B$1:B$32,MATCH(COUNTIF(P45:AC45,PIV!A$1),ETAPP!A$1:A$32,0))&amp;INDEX(ETAPP!B$1:B$32,MATCH(COUNTIF(P45:AC45,PIV!A$2),ETAPP!A$1:A$32,0))&amp;INDEX(ETAPP!B$1:B$32,MATCH(COUNTIF(P45:AC45,PIV!A$3),ETAPP!A$1:A$32,0))&amp;INDEX(ETAPP!B$1:B$32,MATCH(COUNTIF(P45:AC45,PIV!A$4),ETAPP!A$1:A$32,0))&amp;INDEX(ETAPP!B$1:B$32,MATCH(COUNTIF(P45:AC45,PIV!A$5),ETAPP!A$1:A$32,0))&amp;INDEX(ETAPP!B$1:B$32,MATCH(COUNTIF(P45:AC45,PIV!A$6),ETAPP!A$1:A$32,0))&amp;INDEX(ETAPP!B$1:B$32,MATCH(COUNTIF(P45:AC45,PIV!A$7),ETAPP!A$1:A$32,0))&amp;INDEX(ETAPP!B$1:B$32,MATCH(COUNTIF(P45:AC45,PIV!A$8),ETAPP!A$1:A$32,0))&amp;INDEX(ETAPP!B$1:B$32,MATCH(COUNTIF(P45:AC45,PIV!A$9),ETAPP!A$1:A$32,0))&amp;INDEX(ETAPP!B$1:B$32,MATCH(COUNTIF(P45:AC45,PIV!A$10),ETAPP!A$1:A$32,0))&amp;INDEX(ETAPP!B$1:B$32,MATCH(COUNTIF(P45:AC45,PIV!A$11),ETAPP!A$1:A$32,0))&amp;INDEX(ETAPP!B$1:B$32,MATCH(COUNTIF(P45:AC45,PIV!A$12),ETAPP!A$1:A$32,0))&amp;INDEX(ETAPP!B$1:B$32,MATCH(COUNTIF(P45:AC45,PIV!A$13),ETAPP!A$1:A$32,0))&amp;INDEX(ETAPP!B$1:B$32,MATCH(COUNTIF(P45:AC45,PIV!A$14),ETAPP!A$1:A$32,0))&amp;INDEX(ETAPP!B$1:B$32,MATCH(COUNTIF(P45:AC45,PIV!A$15),ETAPP!A$1:A$32,0))&amp;INDEX(ETAPP!B$1:B$32,MATCH(COUNTIF(P45:AC45,PIV!A$16),ETAPP!A$1:A$32,0))&amp;INDEX(ETAPP!B$1:B$32,MATCH(COUNTIF(P45:AC45,PIV!A$17),ETAPP!A$1:A$32,0))&amp;INDEX(ETAPP!B$1:B$32,MATCH(COUNTIF(P45:AC45,PIV!A$18),ETAPP!A$1:A$32,0))&amp;INDEX(ETAPP!B$1:B$32,MATCH(COUNTIF(P45:AC45,PIV!A$19),ETAPP!A$1:A$32,0))</f>
        <v>000000000B00B000C0G</v>
      </c>
      <c r="K45" s="475" t="str">
        <f t="shared" ca="1" si="2"/>
        <v>046,0-000000000B00B000C0G</v>
      </c>
      <c r="L45" s="476">
        <f ca="1">COUNTIF(K$8:K$64,"&gt;="&amp;K45)</f>
        <v>38</v>
      </c>
      <c r="M45" s="476">
        <f>COUNTIF(F$8:F$64,"&gt;="&amp;F45)</f>
        <v>33</v>
      </c>
      <c r="N45" s="475" t="str">
        <f t="shared" ca="1" si="3"/>
        <v>046,0-000000000B00B000C0G-033</v>
      </c>
      <c r="O45" s="477">
        <f ca="1">COUNTIF(N$8:N$64,"&lt;="&amp;N45)</f>
        <v>20</v>
      </c>
      <c r="P45" s="478" t="str">
        <f>IFERROR(INDEX('1'!C$300:C$400,MATCH("*"&amp;F45&amp;"*",'1'!B$300:B$400,0)),"  ")</f>
        <v xml:space="preserve">  </v>
      </c>
      <c r="Q45" s="479" t="str">
        <f>IFERROR(INDEX('2'!C$300:C$400,MATCH("*"&amp;F45&amp;"*",'2'!B$300:B$400,0)),"  ")</f>
        <v xml:space="preserve">  </v>
      </c>
      <c r="R45" s="479" t="str">
        <f>IFERROR(INDEX('3'!C$300:C$400,MATCH("*"&amp;F45&amp;"*",'3'!B$300:B$400,0)),"  ")</f>
        <v xml:space="preserve">  </v>
      </c>
      <c r="S45" s="479" t="str">
        <f>IFERROR(INDEX('4'!C$300:C$400,MATCH("*"&amp;F45&amp;"*",'4'!B$300:B$400,0)),"  ")</f>
        <v xml:space="preserve">  </v>
      </c>
      <c r="T45" s="479">
        <f>IFERROR(INDEX('5'!C$300:C$400,MATCH("*"&amp;F45&amp;"*",'5'!B$300:B$400,0)),"  ")</f>
        <v>1</v>
      </c>
      <c r="U45" s="479" t="str">
        <f>IFERROR(INDEX('6'!C$300:C$400,MATCH("*"&amp;F45&amp;"*",'6'!B$300:B$400,0)),"  ")</f>
        <v xml:space="preserve">  </v>
      </c>
      <c r="V45" s="479" t="str">
        <f ca="1">IFERROR(INDEX('7'!C$300:C$400,MATCH("*"&amp;F45&amp;"*",'7'!B$300:B$400,0)),"  ")</f>
        <v xml:space="preserve">  </v>
      </c>
      <c r="W45" s="479">
        <f>IFERROR(INDEX('8'!C$300:C$400,MATCH("*"&amp;F45&amp;"*",'8'!B$300:B$400,0)),"  ")</f>
        <v>14</v>
      </c>
      <c r="X45" s="479">
        <f>IFERROR(INDEX('9'!C$300:C$400,MATCH("*"&amp;F45&amp;"*",'9'!B$300:B$400,0)),"  ")</f>
        <v>14</v>
      </c>
      <c r="Y45" s="479" t="str">
        <f>IFERROR(INDEX('10'!C$300:C$400,MATCH("*"&amp;F45&amp;"*",'10'!B$300:B$400,0)),"  ")</f>
        <v xml:space="preserve">  </v>
      </c>
      <c r="Z45" s="478">
        <f>IFERROR(INDEX('11'!C$300:C$400,MATCH("*"&amp;F45&amp;"*",'11'!B$300:B$400,0)),"  ")</f>
        <v>1</v>
      </c>
      <c r="AA45" s="479">
        <f>IFERROR(INDEX('12'!C$300:C$400,MATCH("*"&amp;F45&amp;"*",'12'!B$300:B$400,0)),"  ")</f>
        <v>1</v>
      </c>
      <c r="AB45" s="479">
        <f>IFERROR(INDEX('13'!C$300:C$400,MATCH("*"&amp;F45&amp;"*",'13'!B$300:B$400,0)),"  ")</f>
        <v>8</v>
      </c>
      <c r="AC45" s="479">
        <f>IFERROR(INDEX('14'!C$300:C$400,MATCH("*"&amp;F45&amp;"*",'14'!B$300:B$400,0)),"  ")</f>
        <v>8</v>
      </c>
      <c r="AD45" s="481">
        <f t="shared" ca="1" si="4"/>
        <v>7</v>
      </c>
      <c r="AE45" s="481">
        <f t="shared" ca="1" si="5"/>
        <v>0</v>
      </c>
      <c r="AF45" s="481">
        <f t="shared" ca="1" si="6"/>
        <v>0</v>
      </c>
      <c r="AG45" s="482">
        <f t="shared" si="10"/>
        <v>1E-4</v>
      </c>
      <c r="AH45" s="482">
        <f t="shared" si="7"/>
        <v>2.0000000000000001E-4</v>
      </c>
      <c r="AI45" s="482">
        <f t="shared" ca="1" si="8"/>
        <v>6.9999999999999999E-4</v>
      </c>
      <c r="AJ45" s="482">
        <f t="shared" ca="1" si="9"/>
        <v>1.0004999999999999</v>
      </c>
      <c r="AK45" s="412"/>
    </row>
    <row r="46" spans="1:37" x14ac:dyDescent="0.2">
      <c r="A46" s="467" t="str">
        <f>IFERROR(RANK(B46,B$8:B$64,1),"")</f>
        <v/>
      </c>
      <c r="B46" s="468" t="str">
        <f t="shared" si="0"/>
        <v/>
      </c>
      <c r="C46" s="469" t="str">
        <f>IFERROR(RANK(D46,D$8:D$64,1),"")</f>
        <v/>
      </c>
      <c r="D46" s="470" t="str">
        <f t="shared" si="1"/>
        <v/>
      </c>
      <c r="E46" s="471">
        <f ca="1">RANK(L46,L$8:L$64,1)</f>
        <v>39</v>
      </c>
      <c r="F46" s="432" t="s">
        <v>258</v>
      </c>
      <c r="G46" s="472"/>
      <c r="H46" s="473"/>
      <c r="I46" s="474">
        <f ca="1">(IF(COUNT(P46,R46,X46,Y46)&lt;3,SUM(P46,R46,X46,Y46),SUM(LARGE((P46,R46,X46,Y46),{1;2;3}))))+(IF(COUNT(Q46,S46,U46,W46)&lt;3,SUM(Q46,S46,U46,W46),SUM(LARGE((Q46,S46,U46,W46),{1;2;3}))))+(IF(COUNT(T46,V46,Z46,AA46,AB46,AC46)&lt;4,SUM(T46,V46,Z46,AA46,AB46,AC46),SUM(LARGE((T46,V46,Z46,AA46,AB46,AC46),{1;2;3;4}))))</f>
        <v>41</v>
      </c>
      <c r="J46" s="475" t="str">
        <f ca="1">INDEX(ETAPP!B$1:B$32,MATCH(COUNTIF(P46:AC46,PIV!A$1),ETAPP!A$1:A$32,0))&amp;INDEX(ETAPP!B$1:B$32,MATCH(COUNTIF(P46:AC46,PIV!A$2),ETAPP!A$1:A$32,0))&amp;INDEX(ETAPP!B$1:B$32,MATCH(COUNTIF(P46:AC46,PIV!A$3),ETAPP!A$1:A$32,0))&amp;INDEX(ETAPP!B$1:B$32,MATCH(COUNTIF(P46:AC46,PIV!A$4),ETAPP!A$1:A$32,0))&amp;INDEX(ETAPP!B$1:B$32,MATCH(COUNTIF(P46:AC46,PIV!A$5),ETAPP!A$1:A$32,0))&amp;INDEX(ETAPP!B$1:B$32,MATCH(COUNTIF(P46:AC46,PIV!A$6),ETAPP!A$1:A$32,0))&amp;INDEX(ETAPP!B$1:B$32,MATCH(COUNTIF(P46:AC46,PIV!A$7),ETAPP!A$1:A$32,0))&amp;INDEX(ETAPP!B$1:B$32,MATCH(COUNTIF(P46:AC46,PIV!A$8),ETAPP!A$1:A$32,0))&amp;INDEX(ETAPP!B$1:B$32,MATCH(COUNTIF(P46:AC46,PIV!A$9),ETAPP!A$1:A$32,0))&amp;INDEX(ETAPP!B$1:B$32,MATCH(COUNTIF(P46:AC46,PIV!A$10),ETAPP!A$1:A$32,0))&amp;INDEX(ETAPP!B$1:B$32,MATCH(COUNTIF(P46:AC46,PIV!A$11),ETAPP!A$1:A$32,0))&amp;INDEX(ETAPP!B$1:B$32,MATCH(COUNTIF(P46:AC46,PIV!A$12),ETAPP!A$1:A$32,0))&amp;INDEX(ETAPP!B$1:B$32,MATCH(COUNTIF(P46:AC46,PIV!A$13),ETAPP!A$1:A$32,0))&amp;INDEX(ETAPP!B$1:B$32,MATCH(COUNTIF(P46:AC46,PIV!A$14),ETAPP!A$1:A$32,0))&amp;INDEX(ETAPP!B$1:B$32,MATCH(COUNTIF(P46:AC46,PIV!A$15),ETAPP!A$1:A$32,0))&amp;INDEX(ETAPP!B$1:B$32,MATCH(COUNTIF(P46:AC46,PIV!A$16),ETAPP!A$1:A$32,0))&amp;INDEX(ETAPP!B$1:B$32,MATCH(COUNTIF(P46:AC46,PIV!A$17),ETAPP!A$1:A$32,0))&amp;INDEX(ETAPP!B$1:B$32,MATCH(COUNTIF(P46:AC46,PIV!A$18),ETAPP!A$1:A$32,0))&amp;INDEX(ETAPP!B$1:B$32,MATCH(COUNTIF(P46:AC46,PIV!A$19),ETAPP!A$1:A$32,0))</f>
        <v>0000A000A0000000A0F</v>
      </c>
      <c r="K46" s="475" t="str">
        <f t="shared" ca="1" si="2"/>
        <v>041,0-0000A000A0000000A0F</v>
      </c>
      <c r="L46" s="476">
        <f ca="1">COUNTIF(K$8:K$64,"&gt;="&amp;K46)</f>
        <v>39</v>
      </c>
      <c r="M46" s="476">
        <f>COUNTIF(F$8:F$64,"&gt;="&amp;F46)</f>
        <v>28</v>
      </c>
      <c r="N46" s="475" t="str">
        <f t="shared" ca="1" si="3"/>
        <v>041,0-0000A000A0000000A0F-028</v>
      </c>
      <c r="O46" s="477">
        <f ca="1">COUNTIF(N$8:N$64,"&lt;="&amp;N46)</f>
        <v>19</v>
      </c>
      <c r="P46" s="478" t="str">
        <f>IFERROR(INDEX('1'!C$300:C$400,MATCH("*"&amp;F46&amp;"*",'1'!B$300:B$400,0)),"  ")</f>
        <v xml:space="preserve">  </v>
      </c>
      <c r="Q46" s="479" t="str">
        <f>IFERROR(INDEX('2'!C$300:C$400,MATCH("*"&amp;F46&amp;"*",'2'!B$300:B$400,0)),"  ")</f>
        <v xml:space="preserve">  </v>
      </c>
      <c r="R46" s="479" t="str">
        <f>IFERROR(INDEX('3'!C$300:C$400,MATCH("*"&amp;F46&amp;"*",'3'!B$300:B$400,0)),"  ")</f>
        <v xml:space="preserve">  </v>
      </c>
      <c r="S46" s="479" t="str">
        <f>IFERROR(INDEX('4'!C$300:C$400,MATCH("*"&amp;F46&amp;"*",'4'!B$300:B$400,0)),"  ")</f>
        <v xml:space="preserve">  </v>
      </c>
      <c r="T46" s="479" t="str">
        <f>IFERROR(INDEX('5'!C$300:C$400,MATCH("*"&amp;F46&amp;"*",'5'!B$300:B$400,0)),"  ")</f>
        <v xml:space="preserve">  </v>
      </c>
      <c r="U46" s="479">
        <f>IFERROR(INDEX('6'!C$300:C$400,MATCH("*"&amp;F46&amp;"*",'6'!B$300:B$400,0)),"  ")</f>
        <v>1</v>
      </c>
      <c r="V46" s="479" t="str">
        <f ca="1">IFERROR(INDEX('7'!C$300:C$400,MATCH("*"&amp;F46&amp;"*",'7'!B$300:B$400,0)),"  ")</f>
        <v xml:space="preserve">  </v>
      </c>
      <c r="W46" s="479">
        <f>IFERROR(INDEX('8'!C$300:C$400,MATCH("*"&amp;F46&amp;"*",'8'!B$300:B$400,0)),"  ")</f>
        <v>24</v>
      </c>
      <c r="X46" s="479">
        <f>IFERROR(INDEX('9'!C$300:C$400,MATCH("*"&amp;F46&amp;"*",'9'!B$300:B$400,0)),"  ")</f>
        <v>16</v>
      </c>
      <c r="Y46" s="479" t="str">
        <f>IFERROR(INDEX('10'!C$300:C$400,MATCH("*"&amp;F46&amp;"*",'10'!B$300:B$400,0)),"  ")</f>
        <v xml:space="preserve">  </v>
      </c>
      <c r="Z46" s="478" t="str">
        <f>IFERROR(INDEX('11'!C$300:C$400,MATCH("*"&amp;F46&amp;"*",'11'!B$300:B$400,0)),"  ")</f>
        <v xml:space="preserve">  </v>
      </c>
      <c r="AA46" s="479" t="str">
        <f>IFERROR(INDEX('12'!C$300:C$400,MATCH("*"&amp;F46&amp;"*",'12'!B$300:B$400,0)),"  ")</f>
        <v xml:space="preserve">  </v>
      </c>
      <c r="AB46" s="479" t="str">
        <f>IFERROR(INDEX('13'!C$300:C$400,MATCH("*"&amp;F46&amp;"*",'13'!B$300:B$400,0)),"  ")</f>
        <v xml:space="preserve">  </v>
      </c>
      <c r="AC46" s="479" t="str">
        <f>IFERROR(INDEX('14'!C$300:C$400,MATCH("*"&amp;F46&amp;"*",'14'!B$300:B$400,0)),"  ")</f>
        <v xml:space="preserve">  </v>
      </c>
      <c r="AD46" s="481">
        <f t="shared" ca="1" si="4"/>
        <v>3</v>
      </c>
      <c r="AE46" s="481">
        <f t="shared" ca="1" si="5"/>
        <v>0</v>
      </c>
      <c r="AF46" s="481">
        <f t="shared" ca="1" si="6"/>
        <v>0</v>
      </c>
      <c r="AG46" s="482">
        <f t="shared" si="10"/>
        <v>1E-4</v>
      </c>
      <c r="AH46" s="482">
        <f t="shared" si="7"/>
        <v>2.0000000000000001E-4</v>
      </c>
      <c r="AI46" s="482">
        <f t="shared" ca="1" si="8"/>
        <v>5.0000000000000001E-4</v>
      </c>
      <c r="AJ46" s="482" t="e">
        <f t="shared" ca="1" si="9"/>
        <v>#VALUE!</v>
      </c>
      <c r="AK46" s="412"/>
    </row>
    <row r="47" spans="1:37" x14ac:dyDescent="0.2">
      <c r="A47" s="467" t="str">
        <f>IFERROR(RANK(B47,B$8:B$64,1),"")</f>
        <v/>
      </c>
      <c r="B47" s="468" t="str">
        <f t="shared" si="0"/>
        <v/>
      </c>
      <c r="C47" s="469" t="str">
        <f>IFERROR(RANK(D47,D$8:D$64,1),"")</f>
        <v/>
      </c>
      <c r="D47" s="470" t="str">
        <f t="shared" si="1"/>
        <v/>
      </c>
      <c r="E47" s="471">
        <f ca="1">RANK(L47,L$8:L$64,1)</f>
        <v>40</v>
      </c>
      <c r="F47" s="432" t="s">
        <v>259</v>
      </c>
      <c r="G47" s="472"/>
      <c r="H47" s="473"/>
      <c r="I47" s="474">
        <f ca="1">(IF(COUNT(P47,R47,X47,Y47)&lt;3,SUM(P47,R47,X47,Y47),SUM(LARGE((P47,R47,X47,Y47),{1;2;3}))))+(IF(COUNT(Q47,S47,U47,W47)&lt;3,SUM(Q47,S47,U47,W47),SUM(LARGE((Q47,S47,U47,W47),{1;2;3}))))+(IF(COUNT(T47,V47,Z47,AA47,AB47,AC47)&lt;4,SUM(T47,V47,Z47,AA47,AB47,AC47),SUM(LARGE((T47,V47,Z47,AA47,AB47,AC47),{1;2;3;4}))))</f>
        <v>39</v>
      </c>
      <c r="J47" s="475" t="str">
        <f ca="1">INDEX(ETAPP!B$1:B$32,MATCH(COUNTIF(P47:AC47,PIV!A$1),ETAPP!A$1:A$32,0))&amp;INDEX(ETAPP!B$1:B$32,MATCH(COUNTIF(P47:AC47,PIV!A$2),ETAPP!A$1:A$32,0))&amp;INDEX(ETAPP!B$1:B$32,MATCH(COUNTIF(P47:AC47,PIV!A$3),ETAPP!A$1:A$32,0))&amp;INDEX(ETAPP!B$1:B$32,MATCH(COUNTIF(P47:AC47,PIV!A$4),ETAPP!A$1:A$32,0))&amp;INDEX(ETAPP!B$1:B$32,MATCH(COUNTIF(P47:AC47,PIV!A$5),ETAPP!A$1:A$32,0))&amp;INDEX(ETAPP!B$1:B$32,MATCH(COUNTIF(P47:AC47,PIV!A$6),ETAPP!A$1:A$32,0))&amp;INDEX(ETAPP!B$1:B$32,MATCH(COUNTIF(P47:AC47,PIV!A$7),ETAPP!A$1:A$32,0))&amp;INDEX(ETAPP!B$1:B$32,MATCH(COUNTIF(P47:AC47,PIV!A$8),ETAPP!A$1:A$32,0))&amp;INDEX(ETAPP!B$1:B$32,MATCH(COUNTIF(P47:AC47,PIV!A$9),ETAPP!A$1:A$32,0))&amp;INDEX(ETAPP!B$1:B$32,MATCH(COUNTIF(P47:AC47,PIV!A$10),ETAPP!A$1:A$32,0))&amp;INDEX(ETAPP!B$1:B$32,MATCH(COUNTIF(P47:AC47,PIV!A$11),ETAPP!A$1:A$32,0))&amp;INDEX(ETAPP!B$1:B$32,MATCH(COUNTIF(P47:AC47,PIV!A$12),ETAPP!A$1:A$32,0))&amp;INDEX(ETAPP!B$1:B$32,MATCH(COUNTIF(P47:AC47,PIV!A$13),ETAPP!A$1:A$32,0))&amp;INDEX(ETAPP!B$1:B$32,MATCH(COUNTIF(P47:AC47,PIV!A$14),ETAPP!A$1:A$32,0))&amp;INDEX(ETAPP!B$1:B$32,MATCH(COUNTIF(P47:AC47,PIV!A$15),ETAPP!A$1:A$32,0))&amp;INDEX(ETAPP!B$1:B$32,MATCH(COUNTIF(P47:AC47,PIV!A$16),ETAPP!A$1:A$32,0))&amp;INDEX(ETAPP!B$1:B$32,MATCH(COUNTIF(P47:AC47,PIV!A$17),ETAPP!A$1:A$32,0))&amp;INDEX(ETAPP!B$1:B$32,MATCH(COUNTIF(P47:AC47,PIV!A$18),ETAPP!A$1:A$32,0))&amp;INDEX(ETAPP!B$1:B$32,MATCH(COUNTIF(P47:AC47,PIV!A$19),ETAPP!A$1:A$32,0))</f>
        <v>0000000000C00000C0C</v>
      </c>
      <c r="K47" s="475" t="str">
        <f t="shared" ca="1" si="2"/>
        <v>039,0-0000000000C00000C0C</v>
      </c>
      <c r="L47" s="476">
        <f ca="1">COUNTIF(K$8:K$64,"&gt;="&amp;K47)</f>
        <v>40</v>
      </c>
      <c r="M47" s="476">
        <f>COUNTIF(F$8:F$64,"&gt;="&amp;F47)</f>
        <v>46</v>
      </c>
      <c r="N47" s="475" t="str">
        <f t="shared" ca="1" si="3"/>
        <v>039,0-0000000000C00000C0C-046</v>
      </c>
      <c r="O47" s="477">
        <f ca="1">COUNTIF(N$8:N$64,"&lt;="&amp;N47)</f>
        <v>18</v>
      </c>
      <c r="P47" s="478" t="str">
        <f>IFERROR(INDEX('1'!C$300:C$400,MATCH("*"&amp;F47&amp;"*",'1'!B$300:B$400,0)),"  ")</f>
        <v xml:space="preserve">  </v>
      </c>
      <c r="Q47" s="479" t="str">
        <f>IFERROR(INDEX('2'!C$300:C$400,MATCH("*"&amp;F47&amp;"*",'2'!B$300:B$400,0)),"  ")</f>
        <v xml:space="preserve">  </v>
      </c>
      <c r="R47" s="479" t="str">
        <f>IFERROR(INDEX('3'!C$300:C$400,MATCH("*"&amp;F47&amp;"*",'3'!B$300:B$400,0)),"  ")</f>
        <v xml:space="preserve">  </v>
      </c>
      <c r="S47" s="479">
        <f>IFERROR(INDEX('4'!C$300:C$400,MATCH("*"&amp;F47&amp;"*",'4'!B$300:B$400,0)),"  ")</f>
        <v>12</v>
      </c>
      <c r="T47" s="479" t="str">
        <f>IFERROR(INDEX('5'!C$300:C$400,MATCH("*"&amp;F47&amp;"*",'5'!B$300:B$400,0)),"  ")</f>
        <v xml:space="preserve">  </v>
      </c>
      <c r="U47" s="479" t="str">
        <f>IFERROR(INDEX('6'!C$300:C$400,MATCH("*"&amp;F47&amp;"*",'6'!B$300:B$400,0)),"  ")</f>
        <v xml:space="preserve">  </v>
      </c>
      <c r="V47" s="479" t="str">
        <f ca="1">IFERROR(INDEX('7'!C$300:C$400,MATCH("*"&amp;F47&amp;"*",'7'!B$300:B$400,0)),"  ")</f>
        <v xml:space="preserve">  </v>
      </c>
      <c r="W47" s="479">
        <f>IFERROR(INDEX('8'!C$300:C$400,MATCH("*"&amp;F47&amp;"*",'8'!B$300:B$400,0)),"  ")</f>
        <v>12</v>
      </c>
      <c r="X47" s="479">
        <f>IFERROR(INDEX('9'!C$300:C$400,MATCH("*"&amp;F47&amp;"*",'9'!B$300:B$400,0)),"  ")</f>
        <v>12</v>
      </c>
      <c r="Y47" s="479" t="str">
        <f>IFERROR(INDEX('10'!C$300:C$400,MATCH("*"&amp;F47&amp;"*",'10'!B$300:B$400,0)),"  ")</f>
        <v xml:space="preserve">  </v>
      </c>
      <c r="Z47" s="478">
        <f>IFERROR(INDEX('11'!C$300:C$400,MATCH("*"&amp;F47&amp;"*",'11'!B$300:B$400,0)),"  ")</f>
        <v>1</v>
      </c>
      <c r="AA47" s="479">
        <f>IFERROR(INDEX('12'!C$300:C$400,MATCH("*"&amp;F47&amp;"*",'12'!B$300:B$400,0)),"  ")</f>
        <v>1</v>
      </c>
      <c r="AB47" s="479">
        <f>IFERROR(INDEX('13'!C$300:C$400,MATCH("*"&amp;F47&amp;"*",'13'!B$300:B$400,0)),"  ")</f>
        <v>1</v>
      </c>
      <c r="AC47" s="479" t="str">
        <f>IFERROR(INDEX('14'!C$300:C$400,MATCH("*"&amp;F47&amp;"*",'14'!B$300:B$400,0)),"  ")</f>
        <v xml:space="preserve">  </v>
      </c>
      <c r="AD47" s="481">
        <f t="shared" ca="1" si="4"/>
        <v>6</v>
      </c>
      <c r="AE47" s="481">
        <f t="shared" ca="1" si="5"/>
        <v>0</v>
      </c>
      <c r="AF47" s="481">
        <f t="shared" ca="1" si="6"/>
        <v>0</v>
      </c>
      <c r="AG47" s="482">
        <f t="shared" si="10"/>
        <v>1E-4</v>
      </c>
      <c r="AH47" s="482">
        <f t="shared" si="7"/>
        <v>2.0000000000000001E-4</v>
      </c>
      <c r="AI47" s="482">
        <f t="shared" ca="1" si="8"/>
        <v>5.0000000000000001E-4</v>
      </c>
      <c r="AJ47" s="482" t="e">
        <f t="shared" ca="1" si="9"/>
        <v>#VALUE!</v>
      </c>
      <c r="AK47" s="412"/>
    </row>
    <row r="48" spans="1:37" x14ac:dyDescent="0.2">
      <c r="A48" s="467" t="str">
        <f>IFERROR(RANK(B48,B$8:B$64,1),"")</f>
        <v/>
      </c>
      <c r="B48" s="468" t="str">
        <f t="shared" si="0"/>
        <v/>
      </c>
      <c r="C48" s="469" t="str">
        <f>IFERROR(RANK(D48,D$8:D$64,1),"")</f>
        <v/>
      </c>
      <c r="D48" s="470" t="str">
        <f t="shared" si="1"/>
        <v/>
      </c>
      <c r="E48" s="471">
        <f ca="1">RANK(L48,L$8:L$64,1)</f>
        <v>41</v>
      </c>
      <c r="F48" s="487" t="s">
        <v>260</v>
      </c>
      <c r="G48" s="472"/>
      <c r="H48" s="473"/>
      <c r="I48" s="474">
        <f ca="1">(IF(COUNT(P48,R48,X48,Y48)&lt;3,SUM(P48,R48,X48,Y48),SUM(LARGE((P48,R48,X48,Y48),{1;2;3}))))+(IF(COUNT(Q48,S48,U48,W48)&lt;3,SUM(Q48,S48,U48,W48),SUM(LARGE((Q48,S48,U48,W48),{1;2;3}))))+(IF(COUNT(T48,V48,Z48,AA48,AB48,AC48)&lt;4,SUM(T48,V48,Z48,AA48,AB48,AC48),SUM(LARGE((T48,V48,Z48,AA48,AB48,AC48),{1;2;3;4}))))</f>
        <v>37</v>
      </c>
      <c r="J48" s="475" t="str">
        <f ca="1">INDEX(ETAPP!B$1:B$32,MATCH(COUNTIF(P48:AC48,PIV!A$1),ETAPP!A$1:A$32,0))&amp;INDEX(ETAPP!B$1:B$32,MATCH(COUNTIF(P48:AC48,PIV!A$2),ETAPP!A$1:A$32,0))&amp;INDEX(ETAPP!B$1:B$32,MATCH(COUNTIF(P48:AC48,PIV!A$3),ETAPP!A$1:A$32,0))&amp;INDEX(ETAPP!B$1:B$32,MATCH(COUNTIF(P48:AC48,PIV!A$4),ETAPP!A$1:A$32,0))&amp;INDEX(ETAPP!B$1:B$32,MATCH(COUNTIF(P48:AC48,PIV!A$5),ETAPP!A$1:A$32,0))&amp;INDEX(ETAPP!B$1:B$32,MATCH(COUNTIF(P48:AC48,PIV!A$6),ETAPP!A$1:A$32,0))&amp;INDEX(ETAPP!B$1:B$32,MATCH(COUNTIF(P48:AC48,PIV!A$7),ETAPP!A$1:A$32,0))&amp;INDEX(ETAPP!B$1:B$32,MATCH(COUNTIF(P48:AC48,PIV!A$8),ETAPP!A$1:A$32,0))&amp;INDEX(ETAPP!B$1:B$32,MATCH(COUNTIF(P48:AC48,PIV!A$9),ETAPP!A$1:A$32,0))&amp;INDEX(ETAPP!B$1:B$32,MATCH(COUNTIF(P48:AC48,PIV!A$10),ETAPP!A$1:A$32,0))&amp;INDEX(ETAPP!B$1:B$32,MATCH(COUNTIF(P48:AC48,PIV!A$11),ETAPP!A$1:A$32,0))&amp;INDEX(ETAPP!B$1:B$32,MATCH(COUNTIF(P48:AC48,PIV!A$12),ETAPP!A$1:A$32,0))&amp;INDEX(ETAPP!B$1:B$32,MATCH(COUNTIF(P48:AC48,PIV!A$13),ETAPP!A$1:A$32,0))&amp;INDEX(ETAPP!B$1:B$32,MATCH(COUNTIF(P48:AC48,PIV!A$14),ETAPP!A$1:A$32,0))&amp;INDEX(ETAPP!B$1:B$32,MATCH(COUNTIF(P48:AC48,PIV!A$15),ETAPP!A$1:A$32,0))&amp;INDEX(ETAPP!B$1:B$32,MATCH(COUNTIF(P48:AC48,PIV!A$16),ETAPP!A$1:A$32,0))&amp;INDEX(ETAPP!B$1:B$32,MATCH(COUNTIF(P48:AC48,PIV!A$17),ETAPP!A$1:A$32,0))&amp;INDEX(ETAPP!B$1:B$32,MATCH(COUNTIF(P48:AC48,PIV!A$18),ETAPP!A$1:A$32,0))&amp;INDEX(ETAPP!B$1:B$32,MATCH(COUNTIF(P48:AC48,PIV!A$19),ETAPP!A$1:A$32,0))</f>
        <v>0000000AA0000000C0D</v>
      </c>
      <c r="K48" s="475" t="str">
        <f t="shared" ca="1" si="2"/>
        <v>037,0-0000000AA0000000C0D</v>
      </c>
      <c r="L48" s="476">
        <f ca="1">COUNTIF(K$8:K$64,"&gt;="&amp;K48)</f>
        <v>41</v>
      </c>
      <c r="M48" s="476">
        <f>COUNTIF(F$8:F$64,"&gt;="&amp;F48)</f>
        <v>11</v>
      </c>
      <c r="N48" s="475" t="str">
        <f t="shared" ca="1" si="3"/>
        <v>037,0-0000000AA0000000C0D-011</v>
      </c>
      <c r="O48" s="477">
        <f ca="1">COUNTIF(N$8:N$64,"&lt;="&amp;N48)</f>
        <v>17</v>
      </c>
      <c r="P48" s="478" t="str">
        <f>IFERROR(INDEX('1'!C$300:C$400,MATCH("*"&amp;F48&amp;"*",'1'!B$300:B$400,0)),"  ")</f>
        <v xml:space="preserve">  </v>
      </c>
      <c r="Q48" s="479">
        <f>IFERROR(INDEX('2'!C$300:C$400,MATCH("*"&amp;F48&amp;"*",'2'!B$300:B$400,0)),"  ")</f>
        <v>16</v>
      </c>
      <c r="R48" s="479" t="str">
        <f>IFERROR(INDEX('3'!C$300:C$400,MATCH("*"&amp;F48&amp;"*",'3'!B$300:B$400,0)),"  ")</f>
        <v xml:space="preserve">  </v>
      </c>
      <c r="S48" s="479" t="str">
        <f>IFERROR(INDEX('4'!C$300:C$400,MATCH("*"&amp;F48&amp;"*",'4'!B$300:B$400,0)),"  ")</f>
        <v xml:space="preserve">  </v>
      </c>
      <c r="T48" s="479" t="str">
        <f>IFERROR(INDEX('5'!C$300:C$400,MATCH("*"&amp;F48&amp;"*",'5'!B$300:B$400,0)),"  ")</f>
        <v xml:space="preserve">  </v>
      </c>
      <c r="U48" s="479" t="str">
        <f>IFERROR(INDEX('6'!C$300:C$400,MATCH("*"&amp;F48&amp;"*",'6'!B$300:B$400,0)),"  ")</f>
        <v xml:space="preserve">  </v>
      </c>
      <c r="V48" s="479" t="str">
        <f ca="1">IFERROR(INDEX('7'!C$300:C$400,MATCH("*"&amp;F48&amp;"*",'7'!B$300:B$400,0)),"  ")</f>
        <v xml:space="preserve">  </v>
      </c>
      <c r="W48" s="479" t="str">
        <f>IFERROR(INDEX('8'!C$300:C$400,MATCH("*"&amp;F48&amp;"*",'8'!B$300:B$400,0)),"  ")</f>
        <v xml:space="preserve">  </v>
      </c>
      <c r="X48" s="479" t="str">
        <f>IFERROR(INDEX('9'!C$300:C$400,MATCH("*"&amp;F48&amp;"*",'9'!B$300:B$400,0)),"  ")</f>
        <v xml:space="preserve">  </v>
      </c>
      <c r="Y48" s="479" t="str">
        <f>IFERROR(INDEX('10'!C$300:C$400,MATCH("*"&amp;F48&amp;"*",'10'!B$300:B$400,0)),"  ")</f>
        <v xml:space="preserve">  </v>
      </c>
      <c r="Z48" s="478">
        <f>IFERROR(INDEX('11'!C$300:C$400,MATCH("*"&amp;F48&amp;"*",'11'!B$300:B$400,0)),"  ")</f>
        <v>18</v>
      </c>
      <c r="AA48" s="479">
        <f>IFERROR(INDEX('12'!C$300:C$400,MATCH("*"&amp;F48&amp;"*",'12'!B$300:B$400,0)),"  ")</f>
        <v>1</v>
      </c>
      <c r="AB48" s="479">
        <f>IFERROR(INDEX('13'!C$300:C$400,MATCH("*"&amp;F48&amp;"*",'13'!B$300:B$400,0)),"  ")</f>
        <v>1</v>
      </c>
      <c r="AC48" s="479">
        <f>IFERROR(INDEX('14'!C$300:C$400,MATCH("*"&amp;F48&amp;"*",'14'!B$300:B$400,0)),"  ")</f>
        <v>1</v>
      </c>
      <c r="AD48" s="481">
        <f t="shared" ca="1" si="4"/>
        <v>5</v>
      </c>
      <c r="AE48" s="481">
        <f t="shared" ca="1" si="5"/>
        <v>0</v>
      </c>
      <c r="AF48" s="481">
        <f t="shared" ca="1" si="6"/>
        <v>0</v>
      </c>
      <c r="AG48" s="482">
        <f t="shared" si="10"/>
        <v>1E-4</v>
      </c>
      <c r="AH48" s="482">
        <f t="shared" si="7"/>
        <v>4.0000000000000002E-4</v>
      </c>
      <c r="AI48" s="482">
        <f t="shared" ca="1" si="8"/>
        <v>5.0000000000000001E-4</v>
      </c>
      <c r="AJ48" s="482" t="e">
        <f t="shared" ca="1" si="9"/>
        <v>#VALUE!</v>
      </c>
      <c r="AK48" s="493"/>
    </row>
    <row r="49" spans="1:37" x14ac:dyDescent="0.2">
      <c r="A49" s="467">
        <f ca="1">IFERROR(RANK(B49,B$8:B$64,1),"")</f>
        <v>7</v>
      </c>
      <c r="B49" s="468">
        <f t="shared" ca="1" si="0"/>
        <v>42</v>
      </c>
      <c r="C49" s="469" t="str">
        <f>IFERROR(RANK(D49,D$8:D$64,1),"")</f>
        <v/>
      </c>
      <c r="D49" s="470" t="str">
        <f t="shared" si="1"/>
        <v/>
      </c>
      <c r="E49" s="471">
        <f ca="1">RANK(L49,L$8:L$64,1)</f>
        <v>42</v>
      </c>
      <c r="F49" s="484" t="s">
        <v>261</v>
      </c>
      <c r="G49" s="472" t="s">
        <v>234</v>
      </c>
      <c r="H49" s="473"/>
      <c r="I49" s="474">
        <f ca="1">(IF(COUNT(P49,R49,X49,Y49)&lt;3,SUM(P49,R49,X49,Y49),SUM(LARGE((P49,R49,X49,Y49),{1;2;3}))))+(IF(COUNT(Q49,S49,U49,W49)&lt;3,SUM(Q49,S49,U49,W49),SUM(LARGE((Q49,S49,U49,W49),{1;2;3}))))+(IF(COUNT(T49,V49,Z49,AA49,AB49,AC49)&lt;4,SUM(T49,V49,Z49,AA49,AB49,AC49),SUM(LARGE((T49,V49,Z49,AA49,AB49,AC49),{1;2;3;4}))))</f>
        <v>36</v>
      </c>
      <c r="J49" s="475" t="str">
        <f ca="1">INDEX(ETAPP!B$1:B$32,MATCH(COUNTIF(P49:AC49,PIV!A$1),ETAPP!A$1:A$32,0))&amp;INDEX(ETAPP!B$1:B$32,MATCH(COUNTIF(P49:AC49,PIV!A$2),ETAPP!A$1:A$32,0))&amp;INDEX(ETAPP!B$1:B$32,MATCH(COUNTIF(P49:AC49,PIV!A$3),ETAPP!A$1:A$32,0))&amp;INDEX(ETAPP!B$1:B$32,MATCH(COUNTIF(P49:AC49,PIV!A$4),ETAPP!A$1:A$32,0))&amp;INDEX(ETAPP!B$1:B$32,MATCH(COUNTIF(P49:AC49,PIV!A$5),ETAPP!A$1:A$32,0))&amp;INDEX(ETAPP!B$1:B$32,MATCH(COUNTIF(P49:AC49,PIV!A$6),ETAPP!A$1:A$32,0))&amp;INDEX(ETAPP!B$1:B$32,MATCH(COUNTIF(P49:AC49,PIV!A$7),ETAPP!A$1:A$32,0))&amp;INDEX(ETAPP!B$1:B$32,MATCH(COUNTIF(P49:AC49,PIV!A$8),ETAPP!A$1:A$32,0))&amp;INDEX(ETAPP!B$1:B$32,MATCH(COUNTIF(P49:AC49,PIV!A$9),ETAPP!A$1:A$32,0))&amp;INDEX(ETAPP!B$1:B$32,MATCH(COUNTIF(P49:AC49,PIV!A$10),ETAPP!A$1:A$32,0))&amp;INDEX(ETAPP!B$1:B$32,MATCH(COUNTIF(P49:AC49,PIV!A$11),ETAPP!A$1:A$32,0))&amp;INDEX(ETAPP!B$1:B$32,MATCH(COUNTIF(P49:AC49,PIV!A$12),ETAPP!A$1:A$32,0))&amp;INDEX(ETAPP!B$1:B$32,MATCH(COUNTIF(P49:AC49,PIV!A$13),ETAPP!A$1:A$32,0))&amp;INDEX(ETAPP!B$1:B$32,MATCH(COUNTIF(P49:AC49,PIV!A$14),ETAPP!A$1:A$32,0))&amp;INDEX(ETAPP!B$1:B$32,MATCH(COUNTIF(P49:AC49,PIV!A$15),ETAPP!A$1:A$32,0))&amp;INDEX(ETAPP!B$1:B$32,MATCH(COUNTIF(P49:AC49,PIV!A$16),ETAPP!A$1:A$32,0))&amp;INDEX(ETAPP!B$1:B$32,MATCH(COUNTIF(P49:AC49,PIV!A$17),ETAPP!A$1:A$32,0))&amp;INDEX(ETAPP!B$1:B$32,MATCH(COUNTIF(P49:AC49,PIV!A$18),ETAPP!A$1:A$32,0))&amp;INDEX(ETAPP!B$1:B$32,MATCH(COUNTIF(P49:AC49,PIV!A$19),ETAPP!A$1:A$32,0))</f>
        <v>0000A00000A0000000G</v>
      </c>
      <c r="K49" s="475" t="str">
        <f t="shared" ca="1" si="2"/>
        <v>036,0-0000A00000A0000000G</v>
      </c>
      <c r="L49" s="476">
        <f ca="1">COUNTIF(K$8:K$64,"&gt;="&amp;K49)</f>
        <v>42</v>
      </c>
      <c r="M49" s="476">
        <f>COUNTIF(F$8:F$64,"&gt;="&amp;F49)</f>
        <v>36</v>
      </c>
      <c r="N49" s="475" t="str">
        <f t="shared" ca="1" si="3"/>
        <v>036,0-0000A00000A0000000G-036</v>
      </c>
      <c r="O49" s="477">
        <f ca="1">COUNTIF(N$8:N$64,"&lt;="&amp;N49)</f>
        <v>16</v>
      </c>
      <c r="P49" s="478">
        <f>IFERROR(INDEX('1'!C$300:C$400,MATCH("*"&amp;F49&amp;"*",'1'!B$300:B$400,0)),"  ")</f>
        <v>24</v>
      </c>
      <c r="Q49" s="479">
        <f>IFERROR(INDEX('2'!C$300:C$400,MATCH("*"&amp;F49&amp;"*",'2'!B$300:B$400,0)),"  ")</f>
        <v>12</v>
      </c>
      <c r="R49" s="479" t="str">
        <f>IFERROR(INDEX('3'!C$300:C$400,MATCH("*"&amp;F49&amp;"*",'3'!B$300:B$400,0)),"  ")</f>
        <v xml:space="preserve">  </v>
      </c>
      <c r="S49" s="479" t="str">
        <f>IFERROR(INDEX('4'!C$300:C$400,MATCH("*"&amp;F49&amp;"*",'4'!B$300:B$400,0)),"  ")</f>
        <v xml:space="preserve">  </v>
      </c>
      <c r="T49" s="479" t="str">
        <f>IFERROR(INDEX('5'!C$300:C$400,MATCH("*"&amp;F49&amp;"*",'5'!B$300:B$400,0)),"  ")</f>
        <v xml:space="preserve">  </v>
      </c>
      <c r="U49" s="479" t="str">
        <f>IFERROR(INDEX('6'!C$300:C$400,MATCH("*"&amp;F49&amp;"*",'6'!B$300:B$400,0)),"  ")</f>
        <v xml:space="preserve">  </v>
      </c>
      <c r="V49" s="479" t="str">
        <f ca="1">IFERROR(INDEX('7'!C$300:C$400,MATCH("*"&amp;F49&amp;"*",'7'!B$300:B$400,0)),"  ")</f>
        <v xml:space="preserve">  </v>
      </c>
      <c r="W49" s="479" t="str">
        <f>IFERROR(INDEX('8'!C$300:C$400,MATCH("*"&amp;F49&amp;"*",'8'!B$300:B$400,0)),"  ")</f>
        <v xml:space="preserve">  </v>
      </c>
      <c r="X49" s="479" t="str">
        <f>IFERROR(INDEX('9'!C$300:C$400,MATCH("*"&amp;F49&amp;"*",'9'!B$300:B$400,0)),"  ")</f>
        <v xml:space="preserve">  </v>
      </c>
      <c r="Y49" s="479" t="str">
        <f>IFERROR(INDEX('10'!C$300:C$400,MATCH("*"&amp;F49&amp;"*",'10'!B$300:B$400,0)),"  ")</f>
        <v xml:space="preserve">  </v>
      </c>
      <c r="Z49" s="478" t="str">
        <f>IFERROR(INDEX('11'!C$300:C$400,MATCH("*"&amp;F49&amp;"*",'11'!B$300:B$400,0)),"  ")</f>
        <v xml:space="preserve">  </v>
      </c>
      <c r="AA49" s="479" t="str">
        <f>IFERROR(INDEX('12'!C$300:C$400,MATCH("*"&amp;F49&amp;"*",'12'!B$300:B$400,0)),"  ")</f>
        <v xml:space="preserve">  </v>
      </c>
      <c r="AB49" s="479" t="str">
        <f>IFERROR(INDEX('13'!C$300:C$400,MATCH("*"&amp;F49&amp;"*",'13'!B$300:B$400,0)),"  ")</f>
        <v xml:space="preserve">  </v>
      </c>
      <c r="AC49" s="479" t="str">
        <f>IFERROR(INDEX('14'!C$300:C$400,MATCH("*"&amp;F49&amp;"*",'14'!B$300:B$400,0)),"  ")</f>
        <v xml:space="preserve">  </v>
      </c>
      <c r="AD49" s="481">
        <f t="shared" ca="1" si="4"/>
        <v>2</v>
      </c>
      <c r="AE49" s="481">
        <f t="shared" ca="1" si="5"/>
        <v>0</v>
      </c>
      <c r="AF49" s="481">
        <f t="shared" ca="1" si="6"/>
        <v>0</v>
      </c>
      <c r="AG49" s="482">
        <f t="shared" si="10"/>
        <v>2.9999999999999997E-4</v>
      </c>
      <c r="AH49" s="482">
        <f t="shared" si="7"/>
        <v>4.0000000000000002E-4</v>
      </c>
      <c r="AI49" s="482">
        <f t="shared" ca="1" si="8"/>
        <v>5.0000000000000001E-4</v>
      </c>
      <c r="AJ49" s="482" t="e">
        <f t="shared" ca="1" si="9"/>
        <v>#VALUE!</v>
      </c>
      <c r="AK49" s="412"/>
    </row>
    <row r="50" spans="1:37" x14ac:dyDescent="0.2">
      <c r="A50" s="467" t="str">
        <f>IFERROR(RANK(B50,B$8:B$64,1),"")</f>
        <v/>
      </c>
      <c r="B50" s="468" t="str">
        <f t="shared" si="0"/>
        <v/>
      </c>
      <c r="C50" s="469" t="str">
        <f>IFERROR(RANK(D50,D$8:D$64,1),"")</f>
        <v/>
      </c>
      <c r="D50" s="470" t="str">
        <f t="shared" si="1"/>
        <v/>
      </c>
      <c r="E50" s="471">
        <f ca="1">RANK(L50,L$8:L$64,1)</f>
        <v>43</v>
      </c>
      <c r="F50" s="432" t="s">
        <v>262</v>
      </c>
      <c r="G50" s="472"/>
      <c r="H50" s="473"/>
      <c r="I50" s="474">
        <f ca="1">(IF(COUNT(P50,R50,X50,Y50)&lt;3,SUM(P50,R50,X50,Y50),SUM(LARGE((P50,R50,X50,Y50),{1;2;3}))))+(IF(COUNT(Q50,S50,U50,W50)&lt;3,SUM(Q50,S50,U50,W50),SUM(LARGE((Q50,S50,U50,W50),{1;2;3}))))+(IF(COUNT(T50,V50,Z50,AA50,AB50,AC50)&lt;4,SUM(T50,V50,Z50,AA50,AB50,AC50),SUM(LARGE((T50,V50,Z50,AA50,AB50,AC50),{1;2;3;4}))))</f>
        <v>29</v>
      </c>
      <c r="J50" s="475" t="str">
        <f ca="1">INDEX(ETAPP!B$1:B$32,MATCH(COUNTIF(P50:AC50,PIV!A$1),ETAPP!A$1:A$32,0))&amp;INDEX(ETAPP!B$1:B$32,MATCH(COUNTIF(P50:AC50,PIV!A$2),ETAPP!A$1:A$32,0))&amp;INDEX(ETAPP!B$1:B$32,MATCH(COUNTIF(P50:AC50,PIV!A$3),ETAPP!A$1:A$32,0))&amp;INDEX(ETAPP!B$1:B$32,MATCH(COUNTIF(P50:AC50,PIV!A$4),ETAPP!A$1:A$32,0))&amp;INDEX(ETAPP!B$1:B$32,MATCH(COUNTIF(P50:AC50,PIV!A$5),ETAPP!A$1:A$32,0))&amp;INDEX(ETAPP!B$1:B$32,MATCH(COUNTIF(P50:AC50,PIV!A$6),ETAPP!A$1:A$32,0))&amp;INDEX(ETAPP!B$1:B$32,MATCH(COUNTIF(P50:AC50,PIV!A$7),ETAPP!A$1:A$32,0))&amp;INDEX(ETAPP!B$1:B$32,MATCH(COUNTIF(P50:AC50,PIV!A$8),ETAPP!A$1:A$32,0))&amp;INDEX(ETAPP!B$1:B$32,MATCH(COUNTIF(P50:AC50,PIV!A$9),ETAPP!A$1:A$32,0))&amp;INDEX(ETAPP!B$1:B$32,MATCH(COUNTIF(P50:AC50,PIV!A$10),ETAPP!A$1:A$32,0))&amp;INDEX(ETAPP!B$1:B$32,MATCH(COUNTIF(P50:AC50,PIV!A$11),ETAPP!A$1:A$32,0))&amp;INDEX(ETAPP!B$1:B$32,MATCH(COUNTIF(P50:AC50,PIV!A$12),ETAPP!A$1:A$32,0))&amp;INDEX(ETAPP!B$1:B$32,MATCH(COUNTIF(P50:AC50,PIV!A$13),ETAPP!A$1:A$32,0))&amp;INDEX(ETAPP!B$1:B$32,MATCH(COUNTIF(P50:AC50,PIV!A$14),ETAPP!A$1:A$32,0))&amp;INDEX(ETAPP!B$1:B$32,MATCH(COUNTIF(P50:AC50,PIV!A$15),ETAPP!A$1:A$32,0))&amp;INDEX(ETAPP!B$1:B$32,MATCH(COUNTIF(P50:AC50,PIV!A$16),ETAPP!A$1:A$32,0))&amp;INDEX(ETAPP!B$1:B$32,MATCH(COUNTIF(P50:AC50,PIV!A$17),ETAPP!A$1:A$32,0))&amp;INDEX(ETAPP!B$1:B$32,MATCH(COUNTIF(P50:AC50,PIV!A$18),ETAPP!A$1:A$32,0))&amp;INDEX(ETAPP!B$1:B$32,MATCH(COUNTIF(P50:AC50,PIV!A$19),ETAPP!A$1:A$32,0))</f>
        <v>0000000000B000A0A0E</v>
      </c>
      <c r="K50" s="475" t="str">
        <f t="shared" ca="1" si="2"/>
        <v>029,0-0000000000B000A0A0E</v>
      </c>
      <c r="L50" s="476">
        <f ca="1">COUNTIF(K$8:K$64,"&gt;="&amp;K50)</f>
        <v>43</v>
      </c>
      <c r="M50" s="476">
        <f>COUNTIF(F$8:F$64,"&gt;="&amp;F50)</f>
        <v>17</v>
      </c>
      <c r="N50" s="475" t="str">
        <f t="shared" ca="1" si="3"/>
        <v>029,0-0000000000B000A0A0E-017</v>
      </c>
      <c r="O50" s="477">
        <f ca="1">COUNTIF(N$8:N$64,"&lt;="&amp;N50)</f>
        <v>15</v>
      </c>
      <c r="P50" s="478" t="str">
        <f>IFERROR(INDEX('1'!C$300:C$400,MATCH("*"&amp;F50&amp;"*",'1'!B$300:B$400,0)),"  ")</f>
        <v xml:space="preserve">  </v>
      </c>
      <c r="Q50" s="479" t="str">
        <f>IFERROR(INDEX('2'!C$300:C$400,MATCH("*"&amp;F50&amp;"*",'2'!B$300:B$400,0)),"  ")</f>
        <v xml:space="preserve">  </v>
      </c>
      <c r="R50" s="479" t="str">
        <f>IFERROR(INDEX('3'!C$300:C$400,MATCH("*"&amp;F50&amp;"*",'3'!B$300:B$400,0)),"  ")</f>
        <v xml:space="preserve">  </v>
      </c>
      <c r="S50" s="479" t="str">
        <f>IFERROR(INDEX('4'!C$300:C$400,MATCH("*"&amp;F50&amp;"*",'4'!B$300:B$400,0)),"  ")</f>
        <v xml:space="preserve">  </v>
      </c>
      <c r="T50" s="479" t="str">
        <f>IFERROR(INDEX('5'!C$300:C$400,MATCH("*"&amp;F50&amp;"*",'5'!B$300:B$400,0)),"  ")</f>
        <v xml:space="preserve">  </v>
      </c>
      <c r="U50" s="479" t="str">
        <f>IFERROR(INDEX('6'!C$300:C$400,MATCH("*"&amp;F50&amp;"*",'6'!B$300:B$400,0)),"  ")</f>
        <v xml:space="preserve">  </v>
      </c>
      <c r="V50" s="479" t="str">
        <f ca="1">IFERROR(INDEX('7'!C$300:C$400,MATCH("*"&amp;F50&amp;"*",'7'!B$300:B$400,0)),"  ")</f>
        <v xml:space="preserve">  </v>
      </c>
      <c r="W50" s="479">
        <f>IFERROR(INDEX('8'!C$300:C$400,MATCH("*"&amp;F50&amp;"*",'8'!B$300:B$400,0)),"  ")</f>
        <v>12</v>
      </c>
      <c r="X50" s="479">
        <f>IFERROR(INDEX('9'!C$300:C$400,MATCH("*"&amp;F50&amp;"*",'9'!B$300:B$400,0)),"  ")</f>
        <v>12</v>
      </c>
      <c r="Y50" s="479" t="str">
        <f>IFERROR(INDEX('10'!C$300:C$400,MATCH("*"&amp;F50&amp;"*",'10'!B$300:B$400,0)),"  ")</f>
        <v xml:space="preserve">  </v>
      </c>
      <c r="Z50" s="478" t="str">
        <f>IFERROR(INDEX('11'!C$300:C$400,MATCH("*"&amp;F50&amp;"*",'11'!B$300:B$400,0)),"  ")</f>
        <v xml:space="preserve">  </v>
      </c>
      <c r="AA50" s="479" t="str">
        <f>IFERROR(INDEX('12'!C$300:C$400,MATCH("*"&amp;F50&amp;"*",'12'!B$300:B$400,0)),"  ")</f>
        <v xml:space="preserve">  </v>
      </c>
      <c r="AB50" s="479">
        <f>IFERROR(INDEX('13'!C$300:C$400,MATCH("*"&amp;F50&amp;"*",'13'!B$300:B$400,0)),"  ")</f>
        <v>1</v>
      </c>
      <c r="AC50" s="479">
        <f>IFERROR(INDEX('14'!C$300:C$400,MATCH("*"&amp;F50&amp;"*",'14'!B$300:B$400,0)),"  ")</f>
        <v>4</v>
      </c>
      <c r="AD50" s="481">
        <f t="shared" ca="1" si="4"/>
        <v>4</v>
      </c>
      <c r="AE50" s="481">
        <f t="shared" ca="1" si="5"/>
        <v>0</v>
      </c>
      <c r="AF50" s="481">
        <f t="shared" ca="1" si="6"/>
        <v>0</v>
      </c>
      <c r="AG50" s="482">
        <f t="shared" si="10"/>
        <v>1E-4</v>
      </c>
      <c r="AH50" s="482">
        <f t="shared" si="7"/>
        <v>2.0000000000000001E-4</v>
      </c>
      <c r="AI50" s="482">
        <f t="shared" ca="1" si="8"/>
        <v>5.0000000000000001E-4</v>
      </c>
      <c r="AJ50" s="482" t="e">
        <f t="shared" ca="1" si="9"/>
        <v>#VALUE!</v>
      </c>
      <c r="AK50" s="412"/>
    </row>
    <row r="51" spans="1:37" x14ac:dyDescent="0.2">
      <c r="A51" s="467" t="str">
        <f>IFERROR(RANK(B51,B$8:B$64,1),"")</f>
        <v/>
      </c>
      <c r="B51" s="468" t="str">
        <f t="shared" si="0"/>
        <v/>
      </c>
      <c r="C51" s="469" t="str">
        <f>IFERROR(RANK(D51,D$8:D$64,1),"")</f>
        <v/>
      </c>
      <c r="D51" s="470" t="str">
        <f t="shared" si="1"/>
        <v/>
      </c>
      <c r="E51" s="471">
        <f ca="1">RANK(L51,L$8:L$64,1)</f>
        <v>44</v>
      </c>
      <c r="F51" s="487" t="s">
        <v>263</v>
      </c>
      <c r="G51" s="472"/>
      <c r="H51" s="473"/>
      <c r="I51" s="474">
        <f ca="1">(IF(COUNT(P51,R51,X51,Y51)&lt;3,SUM(P51,R51,X51,Y51),SUM(LARGE((P51,R51,X51,Y51),{1;2;3}))))+(IF(COUNT(Q51,S51,U51,W51)&lt;3,SUM(Q51,S51,U51,W51),SUM(LARGE((Q51,S51,U51,W51),{1;2;3}))))+(IF(COUNT(T51,V51,Z51,AA51,AB51,AC51)&lt;4,SUM(T51,V51,Z51,AA51,AB51,AC51),SUM(LARGE((T51,V51,Z51,AA51,AB51,AC51),{1;2;3;4}))))</f>
        <v>26</v>
      </c>
      <c r="J51" s="475" t="str">
        <f ca="1">INDEX(ETAPP!B$1:B$32,MATCH(COUNTIF(P51:AC51,PIV!A$1),ETAPP!A$1:A$32,0))&amp;INDEX(ETAPP!B$1:B$32,MATCH(COUNTIF(P51:AC51,PIV!A$2),ETAPP!A$1:A$32,0))&amp;INDEX(ETAPP!B$1:B$32,MATCH(COUNTIF(P51:AC51,PIV!A$3),ETAPP!A$1:A$32,0))&amp;INDEX(ETAPP!B$1:B$32,MATCH(COUNTIF(P51:AC51,PIV!A$4),ETAPP!A$1:A$32,0))&amp;INDEX(ETAPP!B$1:B$32,MATCH(COUNTIF(P51:AC51,PIV!A$5),ETAPP!A$1:A$32,0))&amp;INDEX(ETAPP!B$1:B$32,MATCH(COUNTIF(P51:AC51,PIV!A$6),ETAPP!A$1:A$32,0))&amp;INDEX(ETAPP!B$1:B$32,MATCH(COUNTIF(P51:AC51,PIV!A$7),ETAPP!A$1:A$32,0))&amp;INDEX(ETAPP!B$1:B$32,MATCH(COUNTIF(P51:AC51,PIV!A$8),ETAPP!A$1:A$32,0))&amp;INDEX(ETAPP!B$1:B$32,MATCH(COUNTIF(P51:AC51,PIV!A$9),ETAPP!A$1:A$32,0))&amp;INDEX(ETAPP!B$1:B$32,MATCH(COUNTIF(P51:AC51,PIV!A$10),ETAPP!A$1:A$32,0))&amp;INDEX(ETAPP!B$1:B$32,MATCH(COUNTIF(P51:AC51,PIV!A$11),ETAPP!A$1:A$32,0))&amp;INDEX(ETAPP!B$1:B$32,MATCH(COUNTIF(P51:AC51,PIV!A$12),ETAPP!A$1:A$32,0))&amp;INDEX(ETAPP!B$1:B$32,MATCH(COUNTIF(P51:AC51,PIV!A$13),ETAPP!A$1:A$32,0))&amp;INDEX(ETAPP!B$1:B$32,MATCH(COUNTIF(P51:AC51,PIV!A$14),ETAPP!A$1:A$32,0))&amp;INDEX(ETAPP!B$1:B$32,MATCH(COUNTIF(P51:AC51,PIV!A$15),ETAPP!A$1:A$32,0))&amp;INDEX(ETAPP!B$1:B$32,MATCH(COUNTIF(P51:AC51,PIV!A$16),ETAPP!A$1:A$32,0))&amp;INDEX(ETAPP!B$1:B$32,MATCH(COUNTIF(P51:AC51,PIV!A$17),ETAPP!A$1:A$32,0))&amp;INDEX(ETAPP!B$1:B$32,MATCH(COUNTIF(P51:AC51,PIV!A$18),ETAPP!A$1:A$32,0))&amp;INDEX(ETAPP!B$1:B$32,MATCH(COUNTIF(P51:AC51,PIV!A$19),ETAPP!A$1:A$32,0))</f>
        <v>000A00000000000000H</v>
      </c>
      <c r="K51" s="475" t="str">
        <f t="shared" ca="1" si="2"/>
        <v>026,0-000A00000000000000H</v>
      </c>
      <c r="L51" s="476">
        <f ca="1">COUNTIF(K$8:K$64,"&gt;="&amp;K51)</f>
        <v>44</v>
      </c>
      <c r="M51" s="476">
        <f>COUNTIF(F$8:F$64,"&gt;="&amp;F51)</f>
        <v>14</v>
      </c>
      <c r="N51" s="475" t="str">
        <f t="shared" ca="1" si="3"/>
        <v>026,0-000A00000000000000H-014</v>
      </c>
      <c r="O51" s="477">
        <f ca="1">COUNTIF(N$8:N$64,"&lt;="&amp;N51)</f>
        <v>14</v>
      </c>
      <c r="P51" s="478" t="str">
        <f>IFERROR(INDEX('1'!C$300:C$400,MATCH("*"&amp;F51&amp;"*",'1'!B$300:B$400,0)),"  ")</f>
        <v xml:space="preserve">  </v>
      </c>
      <c r="Q51" s="479" t="str">
        <f>IFERROR(INDEX('2'!C$300:C$400,MATCH("*"&amp;F51&amp;"*",'2'!B$300:B$400,0)),"  ")</f>
        <v xml:space="preserve">  </v>
      </c>
      <c r="R51" s="479" t="str">
        <f>IFERROR(INDEX('3'!C$300:C$400,MATCH("*"&amp;F51&amp;"*",'3'!B$300:B$400,0)),"  ")</f>
        <v xml:space="preserve">  </v>
      </c>
      <c r="S51" s="479" t="str">
        <f>IFERROR(INDEX('4'!C$300:C$400,MATCH("*"&amp;F51&amp;"*",'4'!B$300:B$400,0)),"  ")</f>
        <v xml:space="preserve">  </v>
      </c>
      <c r="T51" s="479" t="str">
        <f>IFERROR(INDEX('5'!C$300:C$400,MATCH("*"&amp;F51&amp;"*",'5'!B$300:B$400,0)),"  ")</f>
        <v xml:space="preserve">  </v>
      </c>
      <c r="U51" s="479" t="str">
        <f>IFERROR(INDEX('6'!C$300:C$400,MATCH("*"&amp;F51&amp;"*",'6'!B$300:B$400,0)),"  ")</f>
        <v xml:space="preserve">  </v>
      </c>
      <c r="V51" s="479" t="str">
        <f ca="1">IFERROR(INDEX('7'!C$300:C$400,MATCH("*"&amp;F51&amp;"*",'7'!B$300:B$400,0)),"  ")</f>
        <v xml:space="preserve">  </v>
      </c>
      <c r="W51" s="479" t="str">
        <f>IFERROR(INDEX('8'!C$300:C$400,MATCH("*"&amp;F51&amp;"*",'8'!B$300:B$400,0)),"  ")</f>
        <v xml:space="preserve">  </v>
      </c>
      <c r="X51" s="479" t="str">
        <f>IFERROR(INDEX('9'!C$300:C$400,MATCH("*"&amp;F51&amp;"*",'9'!B$300:B$400,0)),"  ")</f>
        <v xml:space="preserve">  </v>
      </c>
      <c r="Y51" s="479">
        <f>IFERROR(INDEX('10'!C$300:C$400,MATCH("*"&amp;F51&amp;"*",'10'!B$300:B$400,0)),"  ")</f>
        <v>26</v>
      </c>
      <c r="Z51" s="478" t="str">
        <f>IFERROR(INDEX('11'!C$300:C$400,MATCH("*"&amp;F51&amp;"*",'11'!B$300:B$400,0)),"  ")</f>
        <v xml:space="preserve">  </v>
      </c>
      <c r="AA51" s="479" t="str">
        <f>IFERROR(INDEX('12'!C$300:C$400,MATCH("*"&amp;F51&amp;"*",'12'!B$300:B$400,0)),"  ")</f>
        <v xml:space="preserve">  </v>
      </c>
      <c r="AB51" s="479" t="str">
        <f>IFERROR(INDEX('13'!C$300:C$400,MATCH("*"&amp;F51&amp;"*",'13'!B$300:B$400,0)),"  ")</f>
        <v xml:space="preserve">  </v>
      </c>
      <c r="AC51" s="479" t="str">
        <f>IFERROR(INDEX('14'!C$300:C$400,MATCH("*"&amp;F51&amp;"*",'14'!B$300:B$400,0)),"  ")</f>
        <v xml:space="preserve">  </v>
      </c>
      <c r="AD51" s="481">
        <f t="shared" ca="1" si="4"/>
        <v>1</v>
      </c>
      <c r="AE51" s="481">
        <f t="shared" ca="1" si="5"/>
        <v>0</v>
      </c>
      <c r="AF51" s="481">
        <f t="shared" ca="1" si="6"/>
        <v>0</v>
      </c>
      <c r="AG51" s="482">
        <f t="shared" si="10"/>
        <v>1E-4</v>
      </c>
      <c r="AH51" s="482">
        <f t="shared" si="7"/>
        <v>2.0000000000000001E-4</v>
      </c>
      <c r="AI51" s="482">
        <f t="shared" ca="1" si="8"/>
        <v>5.0000000000000001E-4</v>
      </c>
      <c r="AJ51" s="482" t="e">
        <f t="shared" ca="1" si="9"/>
        <v>#VALUE!</v>
      </c>
      <c r="AK51" s="412"/>
    </row>
    <row r="52" spans="1:37" x14ac:dyDescent="0.2">
      <c r="A52" s="467" t="str">
        <f>IFERROR(RANK(B52,B$8:B$64,1),"")</f>
        <v/>
      </c>
      <c r="B52" s="468" t="str">
        <f t="shared" si="0"/>
        <v/>
      </c>
      <c r="C52" s="469" t="str">
        <f>IFERROR(RANK(D52,D$8:D$64,1),"")</f>
        <v/>
      </c>
      <c r="D52" s="470" t="str">
        <f t="shared" si="1"/>
        <v/>
      </c>
      <c r="E52" s="471">
        <f ca="1">RANK(L52,L$8:L$64,1)</f>
        <v>45</v>
      </c>
      <c r="F52" s="487" t="s">
        <v>264</v>
      </c>
      <c r="G52" s="472"/>
      <c r="H52" s="473"/>
      <c r="I52" s="474">
        <f ca="1">(IF(COUNT(P52,R52,X52,Y52)&lt;3,SUM(P52,R52,X52,Y52),SUM(LARGE((P52,R52,X52,Y52),{1;2;3}))))+(IF(COUNT(Q52,S52,U52,W52)&lt;3,SUM(Q52,S52,U52,W52),SUM(LARGE((Q52,S52,U52,W52),{1;2;3}))))+(IF(COUNT(T52,V52,Z52,AA52,AB52,AC52)&lt;4,SUM(T52,V52,Z52,AA52,AB52,AC52),SUM(LARGE((T52,V52,Z52,AA52,AB52,AC52),{1;2;3;4}))))</f>
        <v>24</v>
      </c>
      <c r="J52" s="475" t="str">
        <f ca="1">INDEX(ETAPP!B$1:B$32,MATCH(COUNTIF(P52:AC52,PIV!A$1),ETAPP!A$1:A$32,0))&amp;INDEX(ETAPP!B$1:B$32,MATCH(COUNTIF(P52:AC52,PIV!A$2),ETAPP!A$1:A$32,0))&amp;INDEX(ETAPP!B$1:B$32,MATCH(COUNTIF(P52:AC52,PIV!A$3),ETAPP!A$1:A$32,0))&amp;INDEX(ETAPP!B$1:B$32,MATCH(COUNTIF(P52:AC52,PIV!A$4),ETAPP!A$1:A$32,0))&amp;INDEX(ETAPP!B$1:B$32,MATCH(COUNTIF(P52:AC52,PIV!A$5),ETAPP!A$1:A$32,0))&amp;INDEX(ETAPP!B$1:B$32,MATCH(COUNTIF(P52:AC52,PIV!A$6),ETAPP!A$1:A$32,0))&amp;INDEX(ETAPP!B$1:B$32,MATCH(COUNTIF(P52:AC52,PIV!A$7),ETAPP!A$1:A$32,0))&amp;INDEX(ETAPP!B$1:B$32,MATCH(COUNTIF(P52:AC52,PIV!A$8),ETAPP!A$1:A$32,0))&amp;INDEX(ETAPP!B$1:B$32,MATCH(COUNTIF(P52:AC52,PIV!A$9),ETAPP!A$1:A$32,0))&amp;INDEX(ETAPP!B$1:B$32,MATCH(COUNTIF(P52:AC52,PIV!A$10),ETAPP!A$1:A$32,0))&amp;INDEX(ETAPP!B$1:B$32,MATCH(COUNTIF(P52:AC52,PIV!A$11),ETAPP!A$1:A$32,0))&amp;INDEX(ETAPP!B$1:B$32,MATCH(COUNTIF(P52:AC52,PIV!A$12),ETAPP!A$1:A$32,0))&amp;INDEX(ETAPP!B$1:B$32,MATCH(COUNTIF(P52:AC52,PIV!A$13),ETAPP!A$1:A$32,0))&amp;INDEX(ETAPP!B$1:B$32,MATCH(COUNTIF(P52:AC52,PIV!A$14),ETAPP!A$1:A$32,0))&amp;INDEX(ETAPP!B$1:B$32,MATCH(COUNTIF(P52:AC52,PIV!A$15),ETAPP!A$1:A$32,0))&amp;INDEX(ETAPP!B$1:B$32,MATCH(COUNTIF(P52:AC52,PIV!A$16),ETAPP!A$1:A$32,0))&amp;INDEX(ETAPP!B$1:B$32,MATCH(COUNTIF(P52:AC52,PIV!A$17),ETAPP!A$1:A$32,0))&amp;INDEX(ETAPP!B$1:B$32,MATCH(COUNTIF(P52:AC52,PIV!A$18),ETAPP!A$1:A$32,0))&amp;INDEX(ETAPP!B$1:B$32,MATCH(COUNTIF(P52:AC52,PIV!A$19),ETAPP!A$1:A$32,0))</f>
        <v>0000A0000000000000H</v>
      </c>
      <c r="K52" s="475" t="str">
        <f t="shared" ca="1" si="2"/>
        <v>024,0-0000A0000000000000H</v>
      </c>
      <c r="L52" s="476">
        <f ca="1">COUNTIF(K$8:K$64,"&gt;="&amp;K52)</f>
        <v>46</v>
      </c>
      <c r="M52" s="476">
        <f>COUNTIF(F$8:F$64,"&gt;="&amp;F52)</f>
        <v>9</v>
      </c>
      <c r="N52" s="475" t="str">
        <f t="shared" ca="1" si="3"/>
        <v>024,0-0000A0000000000000H-009</v>
      </c>
      <c r="O52" s="477">
        <f ca="1">COUNTIF(N$8:N$64,"&lt;="&amp;N52)</f>
        <v>13</v>
      </c>
      <c r="P52" s="478" t="str">
        <f>IFERROR(INDEX('1'!C$300:C$400,MATCH("*"&amp;F52&amp;"*",'1'!B$300:B$400,0)),"  ")</f>
        <v xml:space="preserve">  </v>
      </c>
      <c r="Q52" s="479" t="str">
        <f>IFERROR(INDEX('2'!C$300:C$400,MATCH("*"&amp;F52&amp;"*",'2'!B$300:B$400,0)),"  ")</f>
        <v xml:space="preserve">  </v>
      </c>
      <c r="R52" s="479" t="str">
        <f>IFERROR(INDEX('3'!C$300:C$400,MATCH("*"&amp;F52&amp;"*",'3'!B$300:B$400,0)),"  ")</f>
        <v xml:space="preserve">  </v>
      </c>
      <c r="S52" s="479" t="str">
        <f>IFERROR(INDEX('4'!C$300:C$400,MATCH("*"&amp;F52&amp;"*",'4'!B$300:B$400,0)),"  ")</f>
        <v xml:space="preserve">  </v>
      </c>
      <c r="T52" s="479" t="str">
        <f>IFERROR(INDEX('5'!C$300:C$400,MATCH("*"&amp;F52&amp;"*",'5'!B$300:B$400,0)),"  ")</f>
        <v xml:space="preserve">  </v>
      </c>
      <c r="U52" s="479" t="str">
        <f>IFERROR(INDEX('6'!C$300:C$400,MATCH("*"&amp;F52&amp;"*",'6'!B$300:B$400,0)),"  ")</f>
        <v xml:space="preserve">  </v>
      </c>
      <c r="V52" s="479" t="str">
        <f ca="1">IFERROR(INDEX('7'!C$300:C$400,MATCH("*"&amp;F52&amp;"*",'7'!B$300:B$400,0)),"  ")</f>
        <v xml:space="preserve">  </v>
      </c>
      <c r="W52" s="479" t="str">
        <f>IFERROR(INDEX('8'!C$300:C$400,MATCH("*"&amp;F52&amp;"*",'8'!B$300:B$400,0)),"  ")</f>
        <v xml:space="preserve">  </v>
      </c>
      <c r="X52" s="479">
        <f>IFERROR(INDEX('9'!C$300:C$400,MATCH("*"&amp;F52&amp;"*",'9'!B$300:B$400,0)),"  ")</f>
        <v>24</v>
      </c>
      <c r="Y52" s="479" t="str">
        <f>IFERROR(INDEX('10'!C$300:C$400,MATCH("*"&amp;F52&amp;"*",'10'!B$300:B$400,0)),"  ")</f>
        <v xml:space="preserve">  </v>
      </c>
      <c r="Z52" s="478" t="str">
        <f>IFERROR(INDEX('11'!C$300:C$400,MATCH("*"&amp;F52&amp;"*",'11'!B$300:B$400,0)),"  ")</f>
        <v xml:space="preserve">  </v>
      </c>
      <c r="AA52" s="479" t="str">
        <f>IFERROR(INDEX('12'!C$300:C$400,MATCH("*"&amp;F52&amp;"*",'12'!B$300:B$400,0)),"  ")</f>
        <v xml:space="preserve">  </v>
      </c>
      <c r="AB52" s="479" t="str">
        <f>IFERROR(INDEX('13'!C$300:C$400,MATCH("*"&amp;F52&amp;"*",'13'!B$300:B$400,0)),"  ")</f>
        <v xml:space="preserve">  </v>
      </c>
      <c r="AC52" s="479" t="str">
        <f>IFERROR(INDEX('14'!C$300:C$400,MATCH("*"&amp;F52&amp;"*",'14'!B$300:B$400,0)),"  ")</f>
        <v xml:space="preserve">  </v>
      </c>
      <c r="AD52" s="481">
        <f t="shared" ca="1" si="4"/>
        <v>1</v>
      </c>
      <c r="AE52" s="481">
        <f t="shared" ca="1" si="5"/>
        <v>0</v>
      </c>
      <c r="AF52" s="481">
        <f t="shared" ca="1" si="6"/>
        <v>0</v>
      </c>
      <c r="AG52" s="482">
        <f t="shared" si="10"/>
        <v>1E-4</v>
      </c>
      <c r="AH52" s="482">
        <f t="shared" si="7"/>
        <v>2.0000000000000001E-4</v>
      </c>
      <c r="AI52" s="482">
        <f t="shared" ca="1" si="8"/>
        <v>5.0000000000000001E-4</v>
      </c>
      <c r="AJ52" s="482" t="e">
        <f t="shared" ca="1" si="9"/>
        <v>#VALUE!</v>
      </c>
      <c r="AK52" s="412"/>
    </row>
    <row r="53" spans="1:37" x14ac:dyDescent="0.2">
      <c r="A53" s="467" t="str">
        <f>IFERROR(RANK(B53,B$8:B$64,1),"")</f>
        <v/>
      </c>
      <c r="B53" s="468" t="str">
        <f t="shared" si="0"/>
        <v/>
      </c>
      <c r="C53" s="469" t="str">
        <f>IFERROR(RANK(D53,D$8:D$64,1),"")</f>
        <v/>
      </c>
      <c r="D53" s="470" t="str">
        <f t="shared" si="1"/>
        <v/>
      </c>
      <c r="E53" s="471">
        <f ca="1">RANK(L53,L$8:L$64,1)</f>
        <v>45</v>
      </c>
      <c r="F53" s="487" t="s">
        <v>265</v>
      </c>
      <c r="G53" s="472"/>
      <c r="H53" s="473"/>
      <c r="I53" s="474">
        <f ca="1">(IF(COUNT(P53,R53,X53,Y53)&lt;3,SUM(P53,R53,X53,Y53),SUM(LARGE((P53,R53,X53,Y53),{1;2;3}))))+(IF(COUNT(Q53,S53,U53,W53)&lt;3,SUM(Q53,S53,U53,W53),SUM(LARGE((Q53,S53,U53,W53),{1;2;3}))))+(IF(COUNT(T53,V53,Z53,AA53,AB53,AC53)&lt;4,SUM(T53,V53,Z53,AA53,AB53,AC53),SUM(LARGE((T53,V53,Z53,AA53,AB53,AC53),{1;2;3;4}))))</f>
        <v>24</v>
      </c>
      <c r="J53" s="475" t="str">
        <f ca="1">INDEX(ETAPP!B$1:B$32,MATCH(COUNTIF(P53:AC53,PIV!A$1),ETAPP!A$1:A$32,0))&amp;INDEX(ETAPP!B$1:B$32,MATCH(COUNTIF(P53:AC53,PIV!A$2),ETAPP!A$1:A$32,0))&amp;INDEX(ETAPP!B$1:B$32,MATCH(COUNTIF(P53:AC53,PIV!A$3),ETAPP!A$1:A$32,0))&amp;INDEX(ETAPP!B$1:B$32,MATCH(COUNTIF(P53:AC53,PIV!A$4),ETAPP!A$1:A$32,0))&amp;INDEX(ETAPP!B$1:B$32,MATCH(COUNTIF(P53:AC53,PIV!A$5),ETAPP!A$1:A$32,0))&amp;INDEX(ETAPP!B$1:B$32,MATCH(COUNTIF(P53:AC53,PIV!A$6),ETAPP!A$1:A$32,0))&amp;INDEX(ETAPP!B$1:B$32,MATCH(COUNTIF(P53:AC53,PIV!A$7),ETAPP!A$1:A$32,0))&amp;INDEX(ETAPP!B$1:B$32,MATCH(COUNTIF(P53:AC53,PIV!A$8),ETAPP!A$1:A$32,0))&amp;INDEX(ETAPP!B$1:B$32,MATCH(COUNTIF(P53:AC53,PIV!A$9),ETAPP!A$1:A$32,0))&amp;INDEX(ETAPP!B$1:B$32,MATCH(COUNTIF(P53:AC53,PIV!A$10),ETAPP!A$1:A$32,0))&amp;INDEX(ETAPP!B$1:B$32,MATCH(COUNTIF(P53:AC53,PIV!A$11),ETAPP!A$1:A$32,0))&amp;INDEX(ETAPP!B$1:B$32,MATCH(COUNTIF(P53:AC53,PIV!A$12),ETAPP!A$1:A$32,0))&amp;INDEX(ETAPP!B$1:B$32,MATCH(COUNTIF(P53:AC53,PIV!A$13),ETAPP!A$1:A$32,0))&amp;INDEX(ETAPP!B$1:B$32,MATCH(COUNTIF(P53:AC53,PIV!A$14),ETAPP!A$1:A$32,0))&amp;INDEX(ETAPP!B$1:B$32,MATCH(COUNTIF(P53:AC53,PIV!A$15),ETAPP!A$1:A$32,0))&amp;INDEX(ETAPP!B$1:B$32,MATCH(COUNTIF(P53:AC53,PIV!A$16),ETAPP!A$1:A$32,0))&amp;INDEX(ETAPP!B$1:B$32,MATCH(COUNTIF(P53:AC53,PIV!A$17),ETAPP!A$1:A$32,0))&amp;INDEX(ETAPP!B$1:B$32,MATCH(COUNTIF(P53:AC53,PIV!A$18),ETAPP!A$1:A$32,0))&amp;INDEX(ETAPP!B$1:B$32,MATCH(COUNTIF(P53:AC53,PIV!A$19),ETAPP!A$1:A$32,0))</f>
        <v>0000A0000000000000H</v>
      </c>
      <c r="K53" s="475" t="str">
        <f t="shared" ca="1" si="2"/>
        <v>024,0-0000A0000000000000H</v>
      </c>
      <c r="L53" s="476">
        <f ca="1">COUNTIF(K$8:K$64,"&gt;="&amp;K53)</f>
        <v>46</v>
      </c>
      <c r="M53" s="476">
        <f>COUNTIF(F$8:F$64,"&gt;="&amp;F53)</f>
        <v>8</v>
      </c>
      <c r="N53" s="475" t="str">
        <f t="shared" ca="1" si="3"/>
        <v>024,0-0000A0000000000000H-008</v>
      </c>
      <c r="O53" s="477">
        <f ca="1">COUNTIF(N$8:N$64,"&lt;="&amp;N53)</f>
        <v>12</v>
      </c>
      <c r="P53" s="478" t="str">
        <f>IFERROR(INDEX('1'!C$300:C$400,MATCH("*"&amp;F53&amp;"*",'1'!B$300:B$400,0)),"  ")</f>
        <v xml:space="preserve">  </v>
      </c>
      <c r="Q53" s="479" t="str">
        <f>IFERROR(INDEX('2'!C$300:C$400,MATCH("*"&amp;F53&amp;"*",'2'!B$300:B$400,0)),"  ")</f>
        <v xml:space="preserve">  </v>
      </c>
      <c r="R53" s="479">
        <f>IFERROR(INDEX('3'!C$300:C$400,MATCH("*"&amp;F53&amp;"*",'3'!B$300:B$400,0)),"  ")</f>
        <v>24</v>
      </c>
      <c r="S53" s="479" t="str">
        <f>IFERROR(INDEX('4'!C$300:C$400,MATCH("*"&amp;F53&amp;"*",'4'!B$300:B$400,0)),"  ")</f>
        <v xml:space="preserve">  </v>
      </c>
      <c r="T53" s="479" t="str">
        <f>IFERROR(INDEX('5'!C$300:C$400,MATCH("*"&amp;F53&amp;"*",'5'!B$300:B$400,0)),"  ")</f>
        <v xml:space="preserve">  </v>
      </c>
      <c r="U53" s="479" t="str">
        <f>IFERROR(INDEX('6'!C$300:C$400,MATCH("*"&amp;F53&amp;"*",'6'!B$300:B$400,0)),"  ")</f>
        <v xml:space="preserve">  </v>
      </c>
      <c r="V53" s="479" t="str">
        <f ca="1">IFERROR(INDEX('7'!C$300:C$400,MATCH("*"&amp;F53&amp;"*",'7'!B$300:B$400,0)),"  ")</f>
        <v xml:space="preserve">  </v>
      </c>
      <c r="W53" s="479" t="str">
        <f>IFERROR(INDEX('8'!C$300:C$400,MATCH("*"&amp;F53&amp;"*",'8'!B$300:B$400,0)),"  ")</f>
        <v xml:space="preserve">  </v>
      </c>
      <c r="X53" s="479" t="str">
        <f>IFERROR(INDEX('9'!C$300:C$400,MATCH("*"&amp;F53&amp;"*",'9'!B$300:B$400,0)),"  ")</f>
        <v xml:space="preserve">  </v>
      </c>
      <c r="Y53" s="479" t="str">
        <f>IFERROR(INDEX('10'!C$300:C$400,MATCH("*"&amp;F53&amp;"*",'10'!B$300:B$400,0)),"  ")</f>
        <v xml:space="preserve">  </v>
      </c>
      <c r="Z53" s="478" t="str">
        <f>IFERROR(INDEX('11'!C$300:C$400,MATCH("*"&amp;F53&amp;"*",'11'!B$300:B$400,0)),"  ")</f>
        <v xml:space="preserve">  </v>
      </c>
      <c r="AA53" s="479" t="str">
        <f>IFERROR(INDEX('12'!C$300:C$400,MATCH("*"&amp;F53&amp;"*",'12'!B$300:B$400,0)),"  ")</f>
        <v xml:space="preserve">  </v>
      </c>
      <c r="AB53" s="479" t="str">
        <f>IFERROR(INDEX('13'!C$300:C$400,MATCH("*"&amp;F53&amp;"*",'13'!B$300:B$400,0)),"  ")</f>
        <v xml:space="preserve">  </v>
      </c>
      <c r="AC53" s="479" t="str">
        <f>IFERROR(INDEX('14'!C$300:C$400,MATCH("*"&amp;F53&amp;"*",'14'!B$300:B$400,0)),"  ")</f>
        <v xml:space="preserve">  </v>
      </c>
      <c r="AD53" s="481">
        <f t="shared" ca="1" si="4"/>
        <v>1</v>
      </c>
      <c r="AE53" s="481">
        <f t="shared" ca="1" si="5"/>
        <v>0</v>
      </c>
      <c r="AF53" s="481">
        <f t="shared" ca="1" si="6"/>
        <v>0</v>
      </c>
      <c r="AG53" s="482">
        <f t="shared" si="10"/>
        <v>1E-4</v>
      </c>
      <c r="AH53" s="482">
        <f t="shared" si="7"/>
        <v>2.0000000000000001E-4</v>
      </c>
      <c r="AI53" s="482">
        <f t="shared" ca="1" si="8"/>
        <v>5.0000000000000001E-4</v>
      </c>
      <c r="AJ53" s="482" t="e">
        <f t="shared" ca="1" si="9"/>
        <v>#VALUE!</v>
      </c>
      <c r="AK53" s="412"/>
    </row>
    <row r="54" spans="1:37" x14ac:dyDescent="0.2">
      <c r="A54" s="467" t="str">
        <f>IFERROR(RANK(B54,B$8:B$64,1),"")</f>
        <v/>
      </c>
      <c r="B54" s="468" t="str">
        <f t="shared" si="0"/>
        <v/>
      </c>
      <c r="C54" s="469" t="str">
        <f>IFERROR(RANK(D54,D$8:D$64,1),"")</f>
        <v/>
      </c>
      <c r="D54" s="470" t="str">
        <f t="shared" si="1"/>
        <v/>
      </c>
      <c r="E54" s="471">
        <f ca="1">RANK(L54,L$8:L$64,1)</f>
        <v>47</v>
      </c>
      <c r="F54" s="484" t="s">
        <v>266</v>
      </c>
      <c r="G54" s="472"/>
      <c r="H54" s="473"/>
      <c r="I54" s="474">
        <f ca="1">(IF(COUNT(P54,R54,X54,Y54)&lt;3,SUM(P54,R54,X54,Y54),SUM(LARGE((P54,R54,X54,Y54),{1;2;3}))))+(IF(COUNT(Q54,S54,U54,W54)&lt;3,SUM(Q54,S54,U54,W54),SUM(LARGE((Q54,S54,U54,W54),{1;2;3}))))+(IF(COUNT(T54,V54,Z54,AA54,AB54,AC54)&lt;4,SUM(T54,V54,Z54,AA54,AB54,AC54),SUM(LARGE((T54,V54,Z54,AA54,AB54,AC54),{1;2;3;4}))))</f>
        <v>22</v>
      </c>
      <c r="J54" s="475" t="str">
        <f ca="1">INDEX(ETAPP!B$1:B$32,MATCH(COUNTIF(P54:AC54,PIV!A$1),ETAPP!A$1:A$32,0))&amp;INDEX(ETAPP!B$1:B$32,MATCH(COUNTIF(P54:AC54,PIV!A$2),ETAPP!A$1:A$32,0))&amp;INDEX(ETAPP!B$1:B$32,MATCH(COUNTIF(P54:AC54,PIV!A$3),ETAPP!A$1:A$32,0))&amp;INDEX(ETAPP!B$1:B$32,MATCH(COUNTIF(P54:AC54,PIV!A$4),ETAPP!A$1:A$32,0))&amp;INDEX(ETAPP!B$1:B$32,MATCH(COUNTIF(P54:AC54,PIV!A$5),ETAPP!A$1:A$32,0))&amp;INDEX(ETAPP!B$1:B$32,MATCH(COUNTIF(P54:AC54,PIV!A$6),ETAPP!A$1:A$32,0))&amp;INDEX(ETAPP!B$1:B$32,MATCH(COUNTIF(P54:AC54,PIV!A$7),ETAPP!A$1:A$32,0))&amp;INDEX(ETAPP!B$1:B$32,MATCH(COUNTIF(P54:AC54,PIV!A$8),ETAPP!A$1:A$32,0))&amp;INDEX(ETAPP!B$1:B$32,MATCH(COUNTIF(P54:AC54,PIV!A$9),ETAPP!A$1:A$32,0))&amp;INDEX(ETAPP!B$1:B$32,MATCH(COUNTIF(P54:AC54,PIV!A$10),ETAPP!A$1:A$32,0))&amp;INDEX(ETAPP!B$1:B$32,MATCH(COUNTIF(P54:AC54,PIV!A$11),ETAPP!A$1:A$32,0))&amp;INDEX(ETAPP!B$1:B$32,MATCH(COUNTIF(P54:AC54,PIV!A$12),ETAPP!A$1:A$32,0))&amp;INDEX(ETAPP!B$1:B$32,MATCH(COUNTIF(P54:AC54,PIV!A$13),ETAPP!A$1:A$32,0))&amp;INDEX(ETAPP!B$1:B$32,MATCH(COUNTIF(P54:AC54,PIV!A$14),ETAPP!A$1:A$32,0))&amp;INDEX(ETAPP!B$1:B$32,MATCH(COUNTIF(P54:AC54,PIV!A$15),ETAPP!A$1:A$32,0))&amp;INDEX(ETAPP!B$1:B$32,MATCH(COUNTIF(P54:AC54,PIV!A$16),ETAPP!A$1:A$32,0))&amp;INDEX(ETAPP!B$1:B$32,MATCH(COUNTIF(P54:AC54,PIV!A$17),ETAPP!A$1:A$32,0))&amp;INDEX(ETAPP!B$1:B$32,MATCH(COUNTIF(P54:AC54,PIV!A$18),ETAPP!A$1:A$32,0))&amp;INDEX(ETAPP!B$1:B$32,MATCH(COUNTIF(P54:AC54,PIV!A$19),ETAPP!A$1:A$32,0))</f>
        <v>00000A000000000000H</v>
      </c>
      <c r="K54" s="475" t="str">
        <f t="shared" ca="1" si="2"/>
        <v>022,0-00000A000000000000H</v>
      </c>
      <c r="L54" s="476">
        <f ca="1">COUNTIF(K$8:K$64,"&gt;="&amp;K54)</f>
        <v>47</v>
      </c>
      <c r="M54" s="476">
        <f>COUNTIF(F$8:F$64,"&gt;="&amp;F54)</f>
        <v>1</v>
      </c>
      <c r="N54" s="475" t="str">
        <f t="shared" ca="1" si="3"/>
        <v>022,0-00000A000000000000H-001</v>
      </c>
      <c r="O54" s="477">
        <f ca="1">COUNTIF(N$8:N$64,"&lt;="&amp;N54)</f>
        <v>11</v>
      </c>
      <c r="P54" s="478" t="str">
        <f>IFERROR(INDEX('1'!C$300:C$400,MATCH("*"&amp;F54&amp;"*",'1'!B$300:B$400,0)),"  ")</f>
        <v xml:space="preserve">  </v>
      </c>
      <c r="Q54" s="479" t="str">
        <f>IFERROR(INDEX('2'!C$300:C$400,MATCH("*"&amp;F54&amp;"*",'2'!B$300:B$400,0)),"  ")</f>
        <v xml:space="preserve">  </v>
      </c>
      <c r="R54" s="479" t="str">
        <f>IFERROR(INDEX('3'!C$300:C$400,MATCH("*"&amp;F54&amp;"*",'3'!B$300:B$400,0)),"  ")</f>
        <v xml:space="preserve">  </v>
      </c>
      <c r="S54" s="479" t="str">
        <f>IFERROR(INDEX('4'!C$300:C$400,MATCH("*"&amp;F54&amp;"*",'4'!B$300:B$400,0)),"  ")</f>
        <v xml:space="preserve">  </v>
      </c>
      <c r="T54" s="479" t="str">
        <f>IFERROR(INDEX('5'!C$300:C$400,MATCH("*"&amp;F54&amp;"*",'5'!B$300:B$400,0)),"  ")</f>
        <v xml:space="preserve">  </v>
      </c>
      <c r="U54" s="479" t="str">
        <f>IFERROR(INDEX('6'!C$300:C$400,MATCH("*"&amp;F54&amp;"*",'6'!B$300:B$400,0)),"  ")</f>
        <v xml:space="preserve">  </v>
      </c>
      <c r="V54" s="479" t="str">
        <f ca="1">IFERROR(INDEX('7'!C$300:C$400,MATCH("*"&amp;F54&amp;"*",'7'!B$300:B$400,0)),"  ")</f>
        <v xml:space="preserve">  </v>
      </c>
      <c r="W54" s="479" t="str">
        <f>IFERROR(INDEX('8'!C$300:C$400,MATCH("*"&amp;F54&amp;"*",'8'!B$300:B$400,0)),"  ")</f>
        <v xml:space="preserve">  </v>
      </c>
      <c r="X54" s="479" t="str">
        <f>IFERROR(INDEX('9'!C$300:C$400,MATCH("*"&amp;F54&amp;"*",'9'!B$300:B$400,0)),"  ")</f>
        <v xml:space="preserve">  </v>
      </c>
      <c r="Y54" s="479" t="str">
        <f>IFERROR(INDEX('10'!C$300:C$400,MATCH("*"&amp;F54&amp;"*",'10'!B$300:B$400,0)),"  ")</f>
        <v xml:space="preserve">  </v>
      </c>
      <c r="Z54" s="478">
        <f>IFERROR(INDEX('11'!C$300:C$400,MATCH("*"&amp;F54&amp;"*",'11'!B$300:B$400,0)),"  ")</f>
        <v>22</v>
      </c>
      <c r="AA54" s="479" t="str">
        <f>IFERROR(INDEX('12'!C$300:C$400,MATCH("*"&amp;F54&amp;"*",'12'!B$300:B$400,0)),"  ")</f>
        <v xml:space="preserve">  </v>
      </c>
      <c r="AB54" s="479" t="str">
        <f>IFERROR(INDEX('13'!C$300:C$400,MATCH("*"&amp;F54&amp;"*",'13'!B$300:B$400,0)),"  ")</f>
        <v xml:space="preserve">  </v>
      </c>
      <c r="AC54" s="479" t="str">
        <f>IFERROR(INDEX('14'!C$300:C$400,MATCH("*"&amp;F54&amp;"*",'14'!B$300:B$400,0)),"  ")</f>
        <v xml:space="preserve">  </v>
      </c>
      <c r="AD54" s="480">
        <f t="shared" ca="1" si="4"/>
        <v>1</v>
      </c>
      <c r="AE54" s="481">
        <f t="shared" ca="1" si="5"/>
        <v>0</v>
      </c>
      <c r="AF54" s="481">
        <f t="shared" ca="1" si="6"/>
        <v>0</v>
      </c>
      <c r="AG54" s="482">
        <f t="shared" si="10"/>
        <v>1E-4</v>
      </c>
      <c r="AH54" s="482">
        <f t="shared" si="7"/>
        <v>2.0000000000000001E-4</v>
      </c>
      <c r="AI54" s="482">
        <f t="shared" ca="1" si="8"/>
        <v>5.0000000000000001E-4</v>
      </c>
      <c r="AJ54" s="482" t="e">
        <f t="shared" ca="1" si="9"/>
        <v>#VALUE!</v>
      </c>
      <c r="AK54" s="412"/>
    </row>
    <row r="55" spans="1:37" x14ac:dyDescent="0.2">
      <c r="A55" s="467" t="str">
        <f>IFERROR(RANK(B55,B$8:B$64,1),"")</f>
        <v/>
      </c>
      <c r="B55" s="468" t="str">
        <f t="shared" si="0"/>
        <v/>
      </c>
      <c r="C55" s="469" t="str">
        <f>IFERROR(RANK(D55,D$8:D$64,1),"")</f>
        <v/>
      </c>
      <c r="D55" s="470" t="str">
        <f t="shared" si="1"/>
        <v/>
      </c>
      <c r="E55" s="471">
        <f ca="1">RANK(L55,L$8:L$64,1)</f>
        <v>48</v>
      </c>
      <c r="F55" s="432" t="s">
        <v>267</v>
      </c>
      <c r="G55" s="472"/>
      <c r="H55" s="473"/>
      <c r="I55" s="474">
        <f ca="1">(IF(COUNT(P55,R55,X55,Y55)&lt;3,SUM(P55,R55,X55,Y55),SUM(LARGE((P55,R55,X55,Y55),{1;2;3}))))+(IF(COUNT(Q55,S55,U55,W55)&lt;3,SUM(Q55,S55,U55,W55),SUM(LARGE((Q55,S55,U55,W55),{1;2;3}))))+(IF(COUNT(T55,V55,Z55,AA55,AB55,AC55)&lt;4,SUM(T55,V55,Z55,AA55,AB55,AC55),SUM(LARGE((T55,V55,Z55,AA55,AB55,AC55),{1;2;3;4}))))</f>
        <v>21</v>
      </c>
      <c r="J55" s="475" t="str">
        <f ca="1">INDEX(ETAPP!B$1:B$32,MATCH(COUNTIF(P55:AC55,PIV!A$1),ETAPP!A$1:A$32,0))&amp;INDEX(ETAPP!B$1:B$32,MATCH(COUNTIF(P55:AC55,PIV!A$2),ETAPP!A$1:A$32,0))&amp;INDEX(ETAPP!B$1:B$32,MATCH(COUNTIF(P55:AC55,PIV!A$3),ETAPP!A$1:A$32,0))&amp;INDEX(ETAPP!B$1:B$32,MATCH(COUNTIF(P55:AC55,PIV!A$4),ETAPP!A$1:A$32,0))&amp;INDEX(ETAPP!B$1:B$32,MATCH(COUNTIF(P55:AC55,PIV!A$5),ETAPP!A$1:A$32,0))&amp;INDEX(ETAPP!B$1:B$32,MATCH(COUNTIF(P55:AC55,PIV!A$6),ETAPP!A$1:A$32,0))&amp;INDEX(ETAPP!B$1:B$32,MATCH(COUNTIF(P55:AC55,PIV!A$7),ETAPP!A$1:A$32,0))&amp;INDEX(ETAPP!B$1:B$32,MATCH(COUNTIF(P55:AC55,PIV!A$8),ETAPP!A$1:A$32,0))&amp;INDEX(ETAPP!B$1:B$32,MATCH(COUNTIF(P55:AC55,PIV!A$9),ETAPP!A$1:A$32,0))&amp;INDEX(ETAPP!B$1:B$32,MATCH(COUNTIF(P55:AC55,PIV!A$10),ETAPP!A$1:A$32,0))&amp;INDEX(ETAPP!B$1:B$32,MATCH(COUNTIF(P55:AC55,PIV!A$11),ETAPP!A$1:A$32,0))&amp;INDEX(ETAPP!B$1:B$32,MATCH(COUNTIF(P55:AC55,PIV!A$12),ETAPP!A$1:A$32,0))&amp;INDEX(ETAPP!B$1:B$32,MATCH(COUNTIF(P55:AC55,PIV!A$13),ETAPP!A$1:A$32,0))&amp;INDEX(ETAPP!B$1:B$32,MATCH(COUNTIF(P55:AC55,PIV!A$14),ETAPP!A$1:A$32,0))&amp;INDEX(ETAPP!B$1:B$32,MATCH(COUNTIF(P55:AC55,PIV!A$15),ETAPP!A$1:A$32,0))&amp;INDEX(ETAPP!B$1:B$32,MATCH(COUNTIF(P55:AC55,PIV!A$16),ETAPP!A$1:A$32,0))&amp;INDEX(ETAPP!B$1:B$32,MATCH(COUNTIF(P55:AC55,PIV!A$17),ETAPP!A$1:A$32,0))&amp;INDEX(ETAPP!B$1:B$32,MATCH(COUNTIF(P55:AC55,PIV!A$18),ETAPP!A$1:A$32,0))&amp;INDEX(ETAPP!B$1:B$32,MATCH(COUNTIF(P55:AC55,PIV!A$19),ETAPP!A$1:A$32,0))</f>
        <v>000000A000000000A0G</v>
      </c>
      <c r="K55" s="475" t="str">
        <f t="shared" ca="1" si="2"/>
        <v>021,0-000000A000000000A0G</v>
      </c>
      <c r="L55" s="476">
        <f ca="1">COUNTIF(K$8:K$64,"&gt;="&amp;K55)</f>
        <v>49</v>
      </c>
      <c r="M55" s="476">
        <f>COUNTIF(F$8:F$64,"&gt;="&amp;F55)</f>
        <v>49</v>
      </c>
      <c r="N55" s="475" t="str">
        <f t="shared" ca="1" si="3"/>
        <v>021,0-000000A000000000A0G-049</v>
      </c>
      <c r="O55" s="477">
        <f ca="1">COUNTIF(N$8:N$64,"&lt;="&amp;N55)</f>
        <v>10</v>
      </c>
      <c r="P55" s="478" t="str">
        <f>IFERROR(INDEX('1'!C$300:C$400,MATCH("*"&amp;F55&amp;"*",'1'!B$300:B$400,0)),"  ")</f>
        <v xml:space="preserve">  </v>
      </c>
      <c r="Q55" s="479" t="str">
        <f>IFERROR(INDEX('2'!C$300:C$400,MATCH("*"&amp;F55&amp;"*",'2'!B$300:B$400,0)),"  ")</f>
        <v xml:space="preserve">  </v>
      </c>
      <c r="R55" s="479" t="str">
        <f>IFERROR(INDEX('3'!C$300:C$400,MATCH("*"&amp;F55&amp;"*",'3'!B$300:B$400,0)),"  ")</f>
        <v xml:space="preserve">  </v>
      </c>
      <c r="S55" s="479" t="str">
        <f>IFERROR(INDEX('4'!C$300:C$400,MATCH("*"&amp;F55&amp;"*",'4'!B$300:B$400,0)),"  ")</f>
        <v xml:space="preserve">  </v>
      </c>
      <c r="T55" s="479">
        <f>IFERROR(INDEX('5'!C$300:C$400,MATCH("*"&amp;F55&amp;"*",'5'!B$300:B$400,0)),"  ")</f>
        <v>20</v>
      </c>
      <c r="U55" s="479" t="str">
        <f>IFERROR(INDEX('6'!C$300:C$400,MATCH("*"&amp;F55&amp;"*",'6'!B$300:B$400,0)),"  ")</f>
        <v xml:space="preserve">  </v>
      </c>
      <c r="V55" s="479" t="str">
        <f ca="1">IFERROR(INDEX('7'!C$300:C$400,MATCH("*"&amp;F55&amp;"*",'7'!B$300:B$400,0)),"  ")</f>
        <v xml:space="preserve">  </v>
      </c>
      <c r="W55" s="479" t="str">
        <f>IFERROR(INDEX('8'!C$300:C$400,MATCH("*"&amp;F55&amp;"*",'8'!B$300:B$400,0)),"  ")</f>
        <v xml:space="preserve">  </v>
      </c>
      <c r="X55" s="479" t="str">
        <f>IFERROR(INDEX('9'!C$300:C$400,MATCH("*"&amp;F55&amp;"*",'9'!B$300:B$400,0)),"  ")</f>
        <v xml:space="preserve">  </v>
      </c>
      <c r="Y55" s="479" t="str">
        <f>IFERROR(INDEX('10'!C$300:C$400,MATCH("*"&amp;F55&amp;"*",'10'!B$300:B$400,0)),"  ")</f>
        <v xml:space="preserve">  </v>
      </c>
      <c r="Z55" s="478">
        <f>IFERROR(INDEX('11'!C$300:C$400,MATCH("*"&amp;F55&amp;"*",'11'!B$300:B$400,0)),"  ")</f>
        <v>1</v>
      </c>
      <c r="AA55" s="479" t="str">
        <f>IFERROR(INDEX('12'!C$300:C$400,MATCH("*"&amp;F55&amp;"*",'12'!B$300:B$400,0)),"  ")</f>
        <v xml:space="preserve">  </v>
      </c>
      <c r="AB55" s="479" t="str">
        <f>IFERROR(INDEX('13'!C$300:C$400,MATCH("*"&amp;F55&amp;"*",'13'!B$300:B$400,0)),"  ")</f>
        <v xml:space="preserve">  </v>
      </c>
      <c r="AC55" s="479" t="str">
        <f>IFERROR(INDEX('14'!C$300:C$400,MATCH("*"&amp;F55&amp;"*",'14'!B$300:B$400,0)),"  ")</f>
        <v xml:space="preserve">  </v>
      </c>
      <c r="AD55" s="481">
        <f t="shared" ca="1" si="4"/>
        <v>2</v>
      </c>
      <c r="AE55" s="481">
        <f t="shared" ca="1" si="5"/>
        <v>0</v>
      </c>
      <c r="AF55" s="481">
        <f t="shared" ca="1" si="6"/>
        <v>0</v>
      </c>
      <c r="AG55" s="482">
        <f t="shared" si="10"/>
        <v>1E-4</v>
      </c>
      <c r="AH55" s="482">
        <f t="shared" si="7"/>
        <v>2.0000000000000001E-4</v>
      </c>
      <c r="AI55" s="482">
        <f t="shared" ca="1" si="8"/>
        <v>6.9999999999999999E-4</v>
      </c>
      <c r="AJ55" s="482">
        <f t="shared" ca="1" si="9"/>
        <v>1.1999999999999999E-3</v>
      </c>
      <c r="AK55" s="412"/>
    </row>
    <row r="56" spans="1:37" x14ac:dyDescent="0.2">
      <c r="A56" s="467">
        <f ca="1">IFERROR(RANK(B56,B$8:B$64,1),"")</f>
        <v>8</v>
      </c>
      <c r="B56" s="468">
        <f t="shared" ca="1" si="0"/>
        <v>49</v>
      </c>
      <c r="C56" s="469" t="str">
        <f>IFERROR(RANK(D56,D$8:D$64,1),"")</f>
        <v/>
      </c>
      <c r="D56" s="470" t="str">
        <f t="shared" si="1"/>
        <v/>
      </c>
      <c r="E56" s="471">
        <f ca="1">RANK(L56,L$8:L$64,1)</f>
        <v>48</v>
      </c>
      <c r="F56" s="484" t="s">
        <v>268</v>
      </c>
      <c r="G56" s="472" t="s">
        <v>234</v>
      </c>
      <c r="H56" s="473"/>
      <c r="I56" s="474">
        <f ca="1">(IF(COUNT(P56,R56,X56,Y56)&lt;3,SUM(P56,R56,X56,Y56),SUM(LARGE((P56,R56,X56,Y56),{1;2;3}))))+(IF(COUNT(Q56,S56,U56,W56)&lt;3,SUM(Q56,S56,U56,W56),SUM(LARGE((Q56,S56,U56,W56),{1;2;3}))))+(IF(COUNT(T56,V56,Z56,AA56,AB56,AC56)&lt;4,SUM(T56,V56,Z56,AA56,AB56,AC56),SUM(LARGE((T56,V56,Z56,AA56,AB56,AC56),{1;2;3;4}))))</f>
        <v>21</v>
      </c>
      <c r="J56" s="475" t="str">
        <f ca="1">INDEX(ETAPP!B$1:B$32,MATCH(COUNTIF(P56:AC56,PIV!A$1),ETAPP!A$1:A$32,0))&amp;INDEX(ETAPP!B$1:B$32,MATCH(COUNTIF(P56:AC56,PIV!A$2),ETAPP!A$1:A$32,0))&amp;INDEX(ETAPP!B$1:B$32,MATCH(COUNTIF(P56:AC56,PIV!A$3),ETAPP!A$1:A$32,0))&amp;INDEX(ETAPP!B$1:B$32,MATCH(COUNTIF(P56:AC56,PIV!A$4),ETAPP!A$1:A$32,0))&amp;INDEX(ETAPP!B$1:B$32,MATCH(COUNTIF(P56:AC56,PIV!A$5),ETAPP!A$1:A$32,0))&amp;INDEX(ETAPP!B$1:B$32,MATCH(COUNTIF(P56:AC56,PIV!A$6),ETAPP!A$1:A$32,0))&amp;INDEX(ETAPP!B$1:B$32,MATCH(COUNTIF(P56:AC56,PIV!A$7),ETAPP!A$1:A$32,0))&amp;INDEX(ETAPP!B$1:B$32,MATCH(COUNTIF(P56:AC56,PIV!A$8),ETAPP!A$1:A$32,0))&amp;INDEX(ETAPP!B$1:B$32,MATCH(COUNTIF(P56:AC56,PIV!A$9),ETAPP!A$1:A$32,0))&amp;INDEX(ETAPP!B$1:B$32,MATCH(COUNTIF(P56:AC56,PIV!A$10),ETAPP!A$1:A$32,0))&amp;INDEX(ETAPP!B$1:B$32,MATCH(COUNTIF(P56:AC56,PIV!A$11),ETAPP!A$1:A$32,0))&amp;INDEX(ETAPP!B$1:B$32,MATCH(COUNTIF(P56:AC56,PIV!A$12),ETAPP!A$1:A$32,0))&amp;INDEX(ETAPP!B$1:B$32,MATCH(COUNTIF(P56:AC56,PIV!A$13),ETAPP!A$1:A$32,0))&amp;INDEX(ETAPP!B$1:B$32,MATCH(COUNTIF(P56:AC56,PIV!A$14),ETAPP!A$1:A$32,0))&amp;INDEX(ETAPP!B$1:B$32,MATCH(COUNTIF(P56:AC56,PIV!A$15),ETAPP!A$1:A$32,0))&amp;INDEX(ETAPP!B$1:B$32,MATCH(COUNTIF(P56:AC56,PIV!A$16),ETAPP!A$1:A$32,0))&amp;INDEX(ETAPP!B$1:B$32,MATCH(COUNTIF(P56:AC56,PIV!A$17),ETAPP!A$1:A$32,0))&amp;INDEX(ETAPP!B$1:B$32,MATCH(COUNTIF(P56:AC56,PIV!A$18),ETAPP!A$1:A$32,0))&amp;INDEX(ETAPP!B$1:B$32,MATCH(COUNTIF(P56:AC56,PIV!A$19),ETAPP!A$1:A$32,0))</f>
        <v>000000A000000000A0G</v>
      </c>
      <c r="K56" s="475" t="str">
        <f t="shared" ca="1" si="2"/>
        <v>021,0-000000A000000000A0G</v>
      </c>
      <c r="L56" s="476">
        <f ca="1">COUNTIF(K$8:K$64,"&gt;="&amp;K56)</f>
        <v>49</v>
      </c>
      <c r="M56" s="476">
        <f>COUNTIF(F$8:F$64,"&gt;="&amp;F56)</f>
        <v>19</v>
      </c>
      <c r="N56" s="475" t="str">
        <f t="shared" ca="1" si="3"/>
        <v>021,0-000000A000000000A0G-019</v>
      </c>
      <c r="O56" s="477">
        <f ca="1">COUNTIF(N$8:N$64,"&lt;="&amp;N56)</f>
        <v>9</v>
      </c>
      <c r="P56" s="478" t="str">
        <f>IFERROR(INDEX('1'!C$300:C$400,MATCH("*"&amp;F56&amp;"*",'1'!B$300:B$400,0)),"  ")</f>
        <v xml:space="preserve">  </v>
      </c>
      <c r="Q56" s="479" t="str">
        <f>IFERROR(INDEX('2'!C$300:C$400,MATCH("*"&amp;F56&amp;"*",'2'!B$300:B$400,0)),"  ")</f>
        <v xml:space="preserve">  </v>
      </c>
      <c r="R56" s="479" t="str">
        <f>IFERROR(INDEX('3'!C$300:C$400,MATCH("*"&amp;F56&amp;"*",'3'!B$300:B$400,0)),"  ")</f>
        <v xml:space="preserve">  </v>
      </c>
      <c r="S56" s="479">
        <f>IFERROR(INDEX('4'!C$300:C$400,MATCH("*"&amp;F56&amp;"*",'4'!B$300:B$400,0)),"  ")</f>
        <v>20</v>
      </c>
      <c r="T56" s="479" t="str">
        <f>IFERROR(INDEX('5'!C$300:C$400,MATCH("*"&amp;F56&amp;"*",'5'!B$300:B$400,0)),"  ")</f>
        <v xml:space="preserve">  </v>
      </c>
      <c r="U56" s="479" t="str">
        <f>IFERROR(INDEX('6'!C$300:C$400,MATCH("*"&amp;F56&amp;"*",'6'!B$300:B$400,0)),"  ")</f>
        <v xml:space="preserve">  </v>
      </c>
      <c r="V56" s="479" t="str">
        <f ca="1">IFERROR(INDEX('7'!C$300:C$400,MATCH("*"&amp;F56&amp;"*",'7'!B$300:B$400,0)),"  ")</f>
        <v xml:space="preserve">  </v>
      </c>
      <c r="W56" s="479" t="str">
        <f>IFERROR(INDEX('8'!C$300:C$400,MATCH("*"&amp;F56&amp;"*",'8'!B$300:B$400,0)),"  ")</f>
        <v xml:space="preserve">  </v>
      </c>
      <c r="X56" s="479" t="str">
        <f>IFERROR(INDEX('9'!C$300:C$400,MATCH("*"&amp;F56&amp;"*",'9'!B$300:B$400,0)),"  ")</f>
        <v xml:space="preserve">  </v>
      </c>
      <c r="Y56" s="479" t="str">
        <f>IFERROR(INDEX('10'!C$300:C$400,MATCH("*"&amp;F56&amp;"*",'10'!B$300:B$400,0)),"  ")</f>
        <v xml:space="preserve">  </v>
      </c>
      <c r="Z56" s="478" t="str">
        <f>IFERROR(INDEX('11'!C$300:C$400,MATCH("*"&amp;F56&amp;"*",'11'!B$300:B$400,0)),"  ")</f>
        <v xml:space="preserve">  </v>
      </c>
      <c r="AA56" s="479" t="str">
        <f>IFERROR(INDEX('12'!C$300:C$400,MATCH("*"&amp;F56&amp;"*",'12'!B$300:B$400,0)),"  ")</f>
        <v xml:space="preserve">  </v>
      </c>
      <c r="AB56" s="479">
        <f>IFERROR(INDEX('13'!C$300:C$400,MATCH("*"&amp;F56&amp;"*",'13'!B$300:B$400,0)),"  ")</f>
        <v>1</v>
      </c>
      <c r="AC56" s="479" t="str">
        <f>IFERROR(INDEX('14'!C$300:C$400,MATCH("*"&amp;F56&amp;"*",'14'!B$300:B$400,0)),"  ")</f>
        <v xml:space="preserve">  </v>
      </c>
      <c r="AD56" s="480">
        <f t="shared" ca="1" si="4"/>
        <v>2</v>
      </c>
      <c r="AE56" s="481">
        <f t="shared" ca="1" si="5"/>
        <v>0</v>
      </c>
      <c r="AF56" s="481">
        <f t="shared" ca="1" si="6"/>
        <v>0</v>
      </c>
      <c r="AG56" s="482">
        <f t="shared" si="10"/>
        <v>1E-4</v>
      </c>
      <c r="AH56" s="482">
        <f t="shared" si="7"/>
        <v>2.0000000000000001E-4</v>
      </c>
      <c r="AI56" s="482">
        <f t="shared" ca="1" si="8"/>
        <v>5.0000000000000001E-4</v>
      </c>
      <c r="AJ56" s="482" t="e">
        <f t="shared" ca="1" si="9"/>
        <v>#VALUE!</v>
      </c>
      <c r="AK56" s="412"/>
    </row>
    <row r="57" spans="1:37" x14ac:dyDescent="0.2">
      <c r="A57" s="467" t="str">
        <f>IFERROR(RANK(B57,B$8:B$64,1),"")</f>
        <v/>
      </c>
      <c r="B57" s="468" t="str">
        <f t="shared" si="0"/>
        <v/>
      </c>
      <c r="C57" s="469">
        <f ca="1">IFERROR(RANK(D57,D$8:D$64,1),"")</f>
        <v>5</v>
      </c>
      <c r="D57" s="470">
        <f t="shared" ca="1" si="1"/>
        <v>50</v>
      </c>
      <c r="E57" s="471">
        <f ca="1">RANK(L57,L$8:L$64,1)</f>
        <v>50</v>
      </c>
      <c r="F57" s="432" t="s">
        <v>269</v>
      </c>
      <c r="G57" s="472"/>
      <c r="H57" s="495" t="s">
        <v>240</v>
      </c>
      <c r="I57" s="474">
        <f ca="1">(IF(COUNT(P57,R57,X57,Y57)&lt;3,SUM(P57,R57,X57,Y57),SUM(LARGE((P57,R57,X57,Y57),{1;2;3}))))+(IF(COUNT(Q57,S57,U57,W57)&lt;3,SUM(Q57,S57,U57,W57),SUM(LARGE((Q57,S57,U57,W57),{1;2;3}))))+(IF(COUNT(T57,V57,Z57,AA57,AB57,AC57)&lt;4,SUM(T57,V57,Z57,AA57,AB57,AC57),SUM(LARGE((T57,V57,Z57,AA57,AB57,AC57),{1;2;3;4}))))</f>
        <v>17</v>
      </c>
      <c r="J57" s="475" t="str">
        <f ca="1">INDEX(ETAPP!B$1:B$32,MATCH(COUNTIF(P57:AC57,PIV!A$1),ETAPP!A$1:A$32,0))&amp;INDEX(ETAPP!B$1:B$32,MATCH(COUNTIF(P57:AC57,PIV!A$2),ETAPP!A$1:A$32,0))&amp;INDEX(ETAPP!B$1:B$32,MATCH(COUNTIF(P57:AC57,PIV!A$3),ETAPP!A$1:A$32,0))&amp;INDEX(ETAPP!B$1:B$32,MATCH(COUNTIF(P57:AC57,PIV!A$4),ETAPP!A$1:A$32,0))&amp;INDEX(ETAPP!B$1:B$32,MATCH(COUNTIF(P57:AC57,PIV!A$5),ETAPP!A$1:A$32,0))&amp;INDEX(ETAPP!B$1:B$32,MATCH(COUNTIF(P57:AC57,PIV!A$6),ETAPP!A$1:A$32,0))&amp;INDEX(ETAPP!B$1:B$32,MATCH(COUNTIF(P57:AC57,PIV!A$7),ETAPP!A$1:A$32,0))&amp;INDEX(ETAPP!B$1:B$32,MATCH(COUNTIF(P57:AC57,PIV!A$8),ETAPP!A$1:A$32,0))&amp;INDEX(ETAPP!B$1:B$32,MATCH(COUNTIF(P57:AC57,PIV!A$9),ETAPP!A$1:A$32,0))&amp;INDEX(ETAPP!B$1:B$32,MATCH(COUNTIF(P57:AC57,PIV!A$10),ETAPP!A$1:A$32,0))&amp;INDEX(ETAPP!B$1:B$32,MATCH(COUNTIF(P57:AC57,PIV!A$11),ETAPP!A$1:A$32,0))&amp;INDEX(ETAPP!B$1:B$32,MATCH(COUNTIF(P57:AC57,PIV!A$12),ETAPP!A$1:A$32,0))&amp;INDEX(ETAPP!B$1:B$32,MATCH(COUNTIF(P57:AC57,PIV!A$13),ETAPP!A$1:A$32,0))&amp;INDEX(ETAPP!B$1:B$32,MATCH(COUNTIF(P57:AC57,PIV!A$14),ETAPP!A$1:A$32,0))&amp;INDEX(ETAPP!B$1:B$32,MATCH(COUNTIF(P57:AC57,PIV!A$15),ETAPP!A$1:A$32,0))&amp;INDEX(ETAPP!B$1:B$32,MATCH(COUNTIF(P57:AC57,PIV!A$16),ETAPP!A$1:A$32,0))&amp;INDEX(ETAPP!B$1:B$32,MATCH(COUNTIF(P57:AC57,PIV!A$17),ETAPP!A$1:A$32,0))&amp;INDEX(ETAPP!B$1:B$32,MATCH(COUNTIF(P57:AC57,PIV!A$18),ETAPP!A$1:A$32,0))&amp;INDEX(ETAPP!B$1:B$32,MATCH(COUNTIF(P57:AC57,PIV!A$19),ETAPP!A$1:A$32,0))</f>
        <v>000000000A000000C0E</v>
      </c>
      <c r="K57" s="475" t="str">
        <f t="shared" ca="1" si="2"/>
        <v>017,0-000000000A000000C0E</v>
      </c>
      <c r="L57" s="476">
        <f ca="1">COUNTIF(K$8:K$64,"&gt;="&amp;K57)</f>
        <v>50</v>
      </c>
      <c r="M57" s="476">
        <f>COUNTIF(F$8:F$64,"&gt;="&amp;F57)</f>
        <v>3</v>
      </c>
      <c r="N57" s="475" t="str">
        <f t="shared" ca="1" si="3"/>
        <v>017,0-000000000A000000C0E-003</v>
      </c>
      <c r="O57" s="477">
        <f ca="1">COUNTIF(N$8:N$64,"&lt;="&amp;N57)</f>
        <v>8</v>
      </c>
      <c r="P57" s="478" t="str">
        <f>IFERROR(INDEX('1'!C$300:C$400,MATCH("*"&amp;F57&amp;"*",'1'!B$300:B$400,0)),"  ")</f>
        <v xml:space="preserve">  </v>
      </c>
      <c r="Q57" s="479" t="str">
        <f>IFERROR(INDEX('2'!C$300:C$400,MATCH("*"&amp;F57&amp;"*",'2'!B$300:B$400,0)),"  ")</f>
        <v xml:space="preserve">  </v>
      </c>
      <c r="R57" s="479" t="str">
        <f>IFERROR(INDEX('3'!C$300:C$400,MATCH("*"&amp;F57&amp;"*",'3'!B$300:B$400,0)),"  ")</f>
        <v xml:space="preserve">  </v>
      </c>
      <c r="S57" s="479" t="str">
        <f>IFERROR(INDEX('4'!C$300:C$400,MATCH("*"&amp;F57&amp;"*",'4'!B$300:B$400,0)),"  ")</f>
        <v xml:space="preserve">  </v>
      </c>
      <c r="T57" s="479" t="str">
        <f>IFERROR(INDEX('5'!C$300:C$400,MATCH("*"&amp;F57&amp;"*",'5'!B$300:B$400,0)),"  ")</f>
        <v xml:space="preserve">  </v>
      </c>
      <c r="U57" s="479" t="str">
        <f>IFERROR(INDEX('6'!C$300:C$400,MATCH("*"&amp;F57&amp;"*",'6'!B$300:B$400,0)),"  ")</f>
        <v xml:space="preserve">  </v>
      </c>
      <c r="V57" s="479" t="str">
        <f ca="1">IFERROR(INDEX('7'!C$300:C$400,MATCH("*"&amp;F57&amp;"*",'7'!B$300:B$400,0)),"  ")</f>
        <v xml:space="preserve">  </v>
      </c>
      <c r="W57" s="479">
        <f>IFERROR(INDEX('8'!C$300:C$400,MATCH("*"&amp;F57&amp;"*",'8'!B$300:B$400,0)),"  ")</f>
        <v>14</v>
      </c>
      <c r="X57" s="479" t="str">
        <f>IFERROR(INDEX('9'!C$300:C$400,MATCH("*"&amp;F57&amp;"*",'9'!B$300:B$400,0)),"  ")</f>
        <v xml:space="preserve">  </v>
      </c>
      <c r="Y57" s="479" t="str">
        <f>IFERROR(INDEX('10'!C$300:C$400,MATCH("*"&amp;F57&amp;"*",'10'!B$300:B$400,0)),"  ")</f>
        <v xml:space="preserve">  </v>
      </c>
      <c r="Z57" s="478">
        <f>IFERROR(INDEX('11'!C$300:C$400,MATCH("*"&amp;F57&amp;"*",'11'!B$300:B$400,0)),"  ")</f>
        <v>1</v>
      </c>
      <c r="AA57" s="479">
        <f>IFERROR(INDEX('12'!C$300:C$400,MATCH("*"&amp;F57&amp;"*",'12'!B$300:B$400,0)),"  ")</f>
        <v>1</v>
      </c>
      <c r="AB57" s="479">
        <f>IFERROR(INDEX('13'!C$300:C$400,MATCH("*"&amp;F57&amp;"*",'13'!B$300:B$400,0)),"  ")</f>
        <v>1</v>
      </c>
      <c r="AC57" s="479" t="str">
        <f>IFERROR(INDEX('14'!C$300:C$400,MATCH("*"&amp;F57&amp;"*",'14'!B$300:B$400,0)),"  ")</f>
        <v xml:space="preserve">  </v>
      </c>
      <c r="AD57" s="481">
        <f t="shared" ca="1" si="4"/>
        <v>4</v>
      </c>
      <c r="AE57" s="481">
        <f t="shared" ca="1" si="5"/>
        <v>0</v>
      </c>
      <c r="AF57" s="481">
        <f t="shared" ca="1" si="6"/>
        <v>0</v>
      </c>
      <c r="AG57" s="482">
        <f t="shared" si="10"/>
        <v>1E-4</v>
      </c>
      <c r="AH57" s="482">
        <f t="shared" si="7"/>
        <v>2.0000000000000001E-4</v>
      </c>
      <c r="AI57" s="482">
        <f t="shared" ca="1" si="8"/>
        <v>5.0000000000000001E-4</v>
      </c>
      <c r="AJ57" s="482" t="e">
        <f t="shared" ca="1" si="9"/>
        <v>#VALUE!</v>
      </c>
      <c r="AK57" s="412"/>
    </row>
    <row r="58" spans="1:37" x14ac:dyDescent="0.2">
      <c r="A58" s="467" t="str">
        <f>IFERROR(RANK(B58,B$8:B$64,1),"")</f>
        <v/>
      </c>
      <c r="B58" s="468" t="str">
        <f t="shared" si="0"/>
        <v/>
      </c>
      <c r="C58" s="469" t="str">
        <f>IFERROR(RANK(D58,D$8:D$64,1),"")</f>
        <v/>
      </c>
      <c r="D58" s="470" t="str">
        <f t="shared" si="1"/>
        <v/>
      </c>
      <c r="E58" s="471">
        <f ca="1">RANK(L58,L$8:L$64,1)</f>
        <v>51</v>
      </c>
      <c r="F58" s="484" t="s">
        <v>270</v>
      </c>
      <c r="G58" s="472"/>
      <c r="H58" s="473"/>
      <c r="I58" s="474">
        <f ca="1">(IF(COUNT(P58,R58,X58,Y58)&lt;3,SUM(P58,R58,X58,Y58),SUM(LARGE((P58,R58,X58,Y58),{1;2;3}))))+(IF(COUNT(Q58,S58,U58,W58)&lt;3,SUM(Q58,S58,U58,W58),SUM(LARGE((Q58,S58,U58,W58),{1;2;3}))))+(IF(COUNT(T58,V58,Z58,AA58,AB58,AC58)&lt;4,SUM(T58,V58,Z58,AA58,AB58,AC58),SUM(LARGE((T58,V58,Z58,AA58,AB58,AC58),{1;2;3;4}))))</f>
        <v>11</v>
      </c>
      <c r="J58" s="475" t="str">
        <f ca="1">INDEX(ETAPP!B$1:B$32,MATCH(COUNTIF(P58:AC58,PIV!A$1),ETAPP!A$1:A$32,0))&amp;INDEX(ETAPP!B$1:B$32,MATCH(COUNTIF(P58:AC58,PIV!A$2),ETAPP!A$1:A$32,0))&amp;INDEX(ETAPP!B$1:B$32,MATCH(COUNTIF(P58:AC58,PIV!A$3),ETAPP!A$1:A$32,0))&amp;INDEX(ETAPP!B$1:B$32,MATCH(COUNTIF(P58:AC58,PIV!A$4),ETAPP!A$1:A$32,0))&amp;INDEX(ETAPP!B$1:B$32,MATCH(COUNTIF(P58:AC58,PIV!A$5),ETAPP!A$1:A$32,0))&amp;INDEX(ETAPP!B$1:B$32,MATCH(COUNTIF(P58:AC58,PIV!A$6),ETAPP!A$1:A$32,0))&amp;INDEX(ETAPP!B$1:B$32,MATCH(COUNTIF(P58:AC58,PIV!A$7),ETAPP!A$1:A$32,0))&amp;INDEX(ETAPP!B$1:B$32,MATCH(COUNTIF(P58:AC58,PIV!A$8),ETAPP!A$1:A$32,0))&amp;INDEX(ETAPP!B$1:B$32,MATCH(COUNTIF(P58:AC58,PIV!A$9),ETAPP!A$1:A$32,0))&amp;INDEX(ETAPP!B$1:B$32,MATCH(COUNTIF(P58:AC58,PIV!A$10),ETAPP!A$1:A$32,0))&amp;INDEX(ETAPP!B$1:B$32,MATCH(COUNTIF(P58:AC58,PIV!A$11),ETAPP!A$1:A$32,0))&amp;INDEX(ETAPP!B$1:B$32,MATCH(COUNTIF(P58:AC58,PIV!A$12),ETAPP!A$1:A$32,0))&amp;INDEX(ETAPP!B$1:B$32,MATCH(COUNTIF(P58:AC58,PIV!A$13),ETAPP!A$1:A$32,0))&amp;INDEX(ETAPP!B$1:B$32,MATCH(COUNTIF(P58:AC58,PIV!A$14),ETAPP!A$1:A$32,0))&amp;INDEX(ETAPP!B$1:B$32,MATCH(COUNTIF(P58:AC58,PIV!A$15),ETAPP!A$1:A$32,0))&amp;INDEX(ETAPP!B$1:B$32,MATCH(COUNTIF(P58:AC58,PIV!A$16),ETAPP!A$1:A$32,0))&amp;INDEX(ETAPP!B$1:B$32,MATCH(COUNTIF(P58:AC58,PIV!A$17),ETAPP!A$1:A$32,0))&amp;INDEX(ETAPP!B$1:B$32,MATCH(COUNTIF(P58:AC58,PIV!A$18),ETAPP!A$1:A$32,0))&amp;INDEX(ETAPP!B$1:B$32,MATCH(COUNTIF(P58:AC58,PIV!A$19),ETAPP!A$1:A$32,0))</f>
        <v>0000000000000AA0A0F</v>
      </c>
      <c r="K58" s="475" t="str">
        <f t="shared" ca="1" si="2"/>
        <v>011,0-0000000000000AA0A0F</v>
      </c>
      <c r="L58" s="476">
        <f ca="1">COUNTIF(K$8:K$64,"&gt;="&amp;K58)</f>
        <v>51</v>
      </c>
      <c r="M58" s="476">
        <f>COUNTIF(F$8:F$64,"&gt;="&amp;F58)</f>
        <v>7</v>
      </c>
      <c r="N58" s="475" t="str">
        <f t="shared" ca="1" si="3"/>
        <v>011,0-0000000000000AA0A0F-007</v>
      </c>
      <c r="O58" s="477">
        <f ca="1">COUNTIF(N$8:N$64,"&lt;="&amp;N58)</f>
        <v>7</v>
      </c>
      <c r="P58" s="478" t="str">
        <f>IFERROR(INDEX('1'!C$300:C$400,MATCH("*"&amp;F58&amp;"*",'1'!B$300:B$400,0)),"  ")</f>
        <v xml:space="preserve">  </v>
      </c>
      <c r="Q58" s="479" t="str">
        <f>IFERROR(INDEX('2'!C$300:C$400,MATCH("*"&amp;F58&amp;"*",'2'!B$300:B$400,0)),"  ")</f>
        <v xml:space="preserve">  </v>
      </c>
      <c r="R58" s="479" t="str">
        <f>IFERROR(INDEX('3'!C$300:C$400,MATCH("*"&amp;F58&amp;"*",'3'!B$300:B$400,0)),"  ")</f>
        <v xml:space="preserve">  </v>
      </c>
      <c r="S58" s="479" t="str">
        <f>IFERROR(INDEX('4'!C$300:C$400,MATCH("*"&amp;F58&amp;"*",'4'!B$300:B$400,0)),"  ")</f>
        <v xml:space="preserve">  </v>
      </c>
      <c r="T58" s="479">
        <f>IFERROR(INDEX('5'!C$300:C$400,MATCH("*"&amp;F58&amp;"*",'5'!B$300:B$400,0)),"  ")</f>
        <v>4</v>
      </c>
      <c r="U58" s="479" t="str">
        <f>IFERROR(INDEX('6'!C$300:C$400,MATCH("*"&amp;F58&amp;"*",'6'!B$300:B$400,0)),"  ")</f>
        <v xml:space="preserve">  </v>
      </c>
      <c r="V58" s="479" t="str">
        <f ca="1">IFERROR(INDEX('7'!C$300:C$400,MATCH("*"&amp;F58&amp;"*",'7'!B$300:B$400,0)),"  ")</f>
        <v xml:space="preserve">  </v>
      </c>
      <c r="W58" s="479" t="str">
        <f>IFERROR(INDEX('8'!C$300:C$400,MATCH("*"&amp;F58&amp;"*",'8'!B$300:B$400,0)),"  ")</f>
        <v xml:space="preserve">  </v>
      </c>
      <c r="X58" s="479" t="str">
        <f>IFERROR(INDEX('9'!C$300:C$400,MATCH("*"&amp;F58&amp;"*",'9'!B$300:B$400,0)),"  ")</f>
        <v xml:space="preserve">  </v>
      </c>
      <c r="Y58" s="479" t="str">
        <f>IFERROR(INDEX('10'!C$300:C$400,MATCH("*"&amp;F58&amp;"*",'10'!B$300:B$400,0)),"  ")</f>
        <v xml:space="preserve">  </v>
      </c>
      <c r="Z58" s="478">
        <f>IFERROR(INDEX('11'!C$300:C$400,MATCH("*"&amp;F58&amp;"*",'11'!B$300:B$400,0)),"  ")</f>
        <v>6</v>
      </c>
      <c r="AA58" s="479" t="str">
        <f>IFERROR(INDEX('12'!C$300:C$400,MATCH("*"&amp;F58&amp;"*",'12'!B$300:B$400,0)),"  ")</f>
        <v xml:space="preserve">  </v>
      </c>
      <c r="AB58" s="479" t="str">
        <f>IFERROR(INDEX('13'!C$300:C$400,MATCH("*"&amp;F58&amp;"*",'13'!B$300:B$400,0)),"  ")</f>
        <v xml:space="preserve">  </v>
      </c>
      <c r="AC58" s="479">
        <f>IFERROR(INDEX('14'!C$300:C$400,MATCH("*"&amp;F58&amp;"*",'14'!B$300:B$400,0)),"  ")</f>
        <v>1</v>
      </c>
      <c r="AD58" s="481">
        <f t="shared" ca="1" si="4"/>
        <v>3</v>
      </c>
      <c r="AE58" s="481">
        <f t="shared" ca="1" si="5"/>
        <v>0</v>
      </c>
      <c r="AF58" s="481">
        <f t="shared" ca="1" si="6"/>
        <v>0</v>
      </c>
      <c r="AG58" s="482">
        <f t="shared" si="10"/>
        <v>1E-4</v>
      </c>
      <c r="AH58" s="482">
        <f t="shared" si="7"/>
        <v>2.0000000000000001E-4</v>
      </c>
      <c r="AI58" s="482">
        <f t="shared" ca="1" si="8"/>
        <v>6.9999999999999999E-4</v>
      </c>
      <c r="AJ58" s="482">
        <f t="shared" ca="1" si="9"/>
        <v>1.1999999999999999E-3</v>
      </c>
      <c r="AK58" s="412"/>
    </row>
    <row r="59" spans="1:37" x14ac:dyDescent="0.2">
      <c r="A59" s="467" t="str">
        <f>IFERROR(RANK(B59,B$8:B$64,1),"")</f>
        <v/>
      </c>
      <c r="B59" s="468" t="str">
        <f t="shared" si="0"/>
        <v/>
      </c>
      <c r="C59" s="469" t="str">
        <f>IFERROR(RANK(D59,D$8:D$64,1),"")</f>
        <v/>
      </c>
      <c r="D59" s="470" t="str">
        <f t="shared" si="1"/>
        <v/>
      </c>
      <c r="E59" s="471">
        <f ca="1">RANK(L59,L$8:L$64,1)</f>
        <v>52</v>
      </c>
      <c r="F59" s="487" t="s">
        <v>271</v>
      </c>
      <c r="G59" s="472"/>
      <c r="H59" s="473"/>
      <c r="I59" s="474">
        <f ca="1">(IF(COUNT(P59,R59,X59,Y59)&lt;3,SUM(P59,R59,X59,Y59),SUM(LARGE((P59,R59,X59,Y59),{1;2;3}))))+(IF(COUNT(Q59,S59,U59,W59)&lt;3,SUM(Q59,S59,U59,W59),SUM(LARGE((Q59,S59,U59,W59),{1;2;3}))))+(IF(COUNT(T59,V59,Z59,AA59,AB59,AC59)&lt;4,SUM(T59,V59,Z59,AA59,AB59,AC59),SUM(LARGE((T59,V59,Z59,AA59,AB59,AC59),{1;2;3;4}))))</f>
        <v>6</v>
      </c>
      <c r="J59" s="475" t="str">
        <f ca="1">INDEX(ETAPP!B$1:B$32,MATCH(COUNTIF(P59:AC59,PIV!A$1),ETAPP!A$1:A$32,0))&amp;INDEX(ETAPP!B$1:B$32,MATCH(COUNTIF(P59:AC59,PIV!A$2),ETAPP!A$1:A$32,0))&amp;INDEX(ETAPP!B$1:B$32,MATCH(COUNTIF(P59:AC59,PIV!A$3),ETAPP!A$1:A$32,0))&amp;INDEX(ETAPP!B$1:B$32,MATCH(COUNTIF(P59:AC59,PIV!A$4),ETAPP!A$1:A$32,0))&amp;INDEX(ETAPP!B$1:B$32,MATCH(COUNTIF(P59:AC59,PIV!A$5),ETAPP!A$1:A$32,0))&amp;INDEX(ETAPP!B$1:B$32,MATCH(COUNTIF(P59:AC59,PIV!A$6),ETAPP!A$1:A$32,0))&amp;INDEX(ETAPP!B$1:B$32,MATCH(COUNTIF(P59:AC59,PIV!A$7),ETAPP!A$1:A$32,0))&amp;INDEX(ETAPP!B$1:B$32,MATCH(COUNTIF(P59:AC59,PIV!A$8),ETAPP!A$1:A$32,0))&amp;INDEX(ETAPP!B$1:B$32,MATCH(COUNTIF(P59:AC59,PIV!A$9),ETAPP!A$1:A$32,0))&amp;INDEX(ETAPP!B$1:B$32,MATCH(COUNTIF(P59:AC59,PIV!A$10),ETAPP!A$1:A$32,0))&amp;INDEX(ETAPP!B$1:B$32,MATCH(COUNTIF(P59:AC59,PIV!A$11),ETAPP!A$1:A$32,0))&amp;INDEX(ETAPP!B$1:B$32,MATCH(COUNTIF(P59:AC59,PIV!A$12),ETAPP!A$1:A$32,0))&amp;INDEX(ETAPP!B$1:B$32,MATCH(COUNTIF(P59:AC59,PIV!A$13),ETAPP!A$1:A$32,0))&amp;INDEX(ETAPP!B$1:B$32,MATCH(COUNTIF(P59:AC59,PIV!A$14),ETAPP!A$1:A$32,0))&amp;INDEX(ETAPP!B$1:B$32,MATCH(COUNTIF(P59:AC59,PIV!A$15),ETAPP!A$1:A$32,0))&amp;INDEX(ETAPP!B$1:B$32,MATCH(COUNTIF(P59:AC59,PIV!A$16),ETAPP!A$1:A$32,0))&amp;INDEX(ETAPP!B$1:B$32,MATCH(COUNTIF(P59:AC59,PIV!A$17),ETAPP!A$1:A$32,0))&amp;INDEX(ETAPP!B$1:B$32,MATCH(COUNTIF(P59:AC59,PIV!A$18),ETAPP!A$1:A$32,0))&amp;INDEX(ETAPP!B$1:B$32,MATCH(COUNTIF(P59:AC59,PIV!A$19),ETAPP!A$1:A$32,0))</f>
        <v>0000000000000A0000H</v>
      </c>
      <c r="K59" s="475" t="str">
        <f t="shared" ca="1" si="2"/>
        <v>006,0-0000000000000A0000H</v>
      </c>
      <c r="L59" s="476">
        <f ca="1">COUNTIF(K$8:K$64,"&gt;="&amp;K59)</f>
        <v>52</v>
      </c>
      <c r="M59" s="476">
        <f>COUNTIF(F$8:F$64,"&gt;="&amp;F59)</f>
        <v>30</v>
      </c>
      <c r="N59" s="475" t="str">
        <f t="shared" ca="1" si="3"/>
        <v>006,0-0000000000000A0000H-030</v>
      </c>
      <c r="O59" s="477">
        <f ca="1">COUNTIF(N$8:N$64,"&lt;="&amp;N59)</f>
        <v>6</v>
      </c>
      <c r="P59" s="478" t="str">
        <f>IFERROR(INDEX('1'!C$300:C$400,MATCH("*"&amp;F59&amp;"*",'1'!B$300:B$400,0)),"  ")</f>
        <v xml:space="preserve">  </v>
      </c>
      <c r="Q59" s="479" t="str">
        <f>IFERROR(INDEX('2'!C$300:C$400,MATCH("*"&amp;F59&amp;"*",'2'!B$300:B$400,0)),"  ")</f>
        <v xml:space="preserve">  </v>
      </c>
      <c r="R59" s="479" t="str">
        <f>IFERROR(INDEX('3'!C$300:C$400,MATCH("*"&amp;F59&amp;"*",'3'!B$300:B$400,0)),"  ")</f>
        <v xml:space="preserve">  </v>
      </c>
      <c r="S59" s="479" t="str">
        <f>IFERROR(INDEX('4'!C$300:C$400,MATCH("*"&amp;F59&amp;"*",'4'!B$300:B$400,0)),"  ")</f>
        <v xml:space="preserve">  </v>
      </c>
      <c r="T59" s="479">
        <f>IFERROR(INDEX('5'!C$300:C$400,MATCH("*"&amp;F59&amp;"*",'5'!B$300:B$400,0)),"  ")</f>
        <v>6</v>
      </c>
      <c r="U59" s="479" t="str">
        <f>IFERROR(INDEX('6'!C$300:C$400,MATCH("*"&amp;F59&amp;"*",'6'!B$300:B$400,0)),"  ")</f>
        <v xml:space="preserve">  </v>
      </c>
      <c r="V59" s="479" t="str">
        <f ca="1">IFERROR(INDEX('7'!C$300:C$400,MATCH("*"&amp;F59&amp;"*",'7'!B$300:B$400,0)),"  ")</f>
        <v xml:space="preserve">  </v>
      </c>
      <c r="W59" s="479" t="str">
        <f>IFERROR(INDEX('8'!C$300:C$400,MATCH("*"&amp;F59&amp;"*",'8'!B$300:B$400,0)),"  ")</f>
        <v xml:space="preserve">  </v>
      </c>
      <c r="X59" s="479" t="str">
        <f>IFERROR(INDEX('9'!C$300:C$400,MATCH("*"&amp;F59&amp;"*",'9'!B$300:B$400,0)),"  ")</f>
        <v xml:space="preserve">  </v>
      </c>
      <c r="Y59" s="479" t="str">
        <f>IFERROR(INDEX('10'!C$300:C$400,MATCH("*"&amp;F59&amp;"*",'10'!B$300:B$400,0)),"  ")</f>
        <v xml:space="preserve">  </v>
      </c>
      <c r="Z59" s="478" t="str">
        <f>IFERROR(INDEX('11'!C$300:C$400,MATCH("*"&amp;F59&amp;"*",'11'!B$300:B$400,0)),"  ")</f>
        <v xml:space="preserve">  </v>
      </c>
      <c r="AA59" s="479" t="str">
        <f>IFERROR(INDEX('12'!C$300:C$400,MATCH("*"&amp;F59&amp;"*",'12'!B$300:B$400,0)),"  ")</f>
        <v xml:space="preserve">  </v>
      </c>
      <c r="AB59" s="479" t="str">
        <f>IFERROR(INDEX('13'!C$300:C$400,MATCH("*"&amp;F59&amp;"*",'13'!B$300:B$400,0)),"  ")</f>
        <v xml:space="preserve">  </v>
      </c>
      <c r="AC59" s="479" t="str">
        <f>IFERROR(INDEX('14'!C$300:C$400,MATCH("*"&amp;F59&amp;"*",'14'!B$300:B$400,0)),"  ")</f>
        <v xml:space="preserve">  </v>
      </c>
      <c r="AD59" s="481">
        <f t="shared" ca="1" si="4"/>
        <v>1</v>
      </c>
      <c r="AE59" s="481">
        <f t="shared" ca="1" si="5"/>
        <v>0</v>
      </c>
      <c r="AF59" s="481">
        <f t="shared" ca="1" si="6"/>
        <v>0</v>
      </c>
      <c r="AG59" s="482">
        <f t="shared" si="10"/>
        <v>1E-4</v>
      </c>
      <c r="AH59" s="482">
        <f t="shared" si="7"/>
        <v>2.0000000000000001E-4</v>
      </c>
      <c r="AI59" s="482">
        <f t="shared" ca="1" si="8"/>
        <v>6.9999999999999999E-4</v>
      </c>
      <c r="AJ59" s="482">
        <f t="shared" ca="1" si="9"/>
        <v>1.1000000000000001E-3</v>
      </c>
      <c r="AK59" s="412"/>
    </row>
    <row r="60" spans="1:37" x14ac:dyDescent="0.2">
      <c r="A60" s="467" t="str">
        <f>IFERROR(RANK(B60,B$8:B$64,1),"")</f>
        <v/>
      </c>
      <c r="B60" s="468" t="str">
        <f t="shared" si="0"/>
        <v/>
      </c>
      <c r="C60" s="469" t="str">
        <f>IFERROR(RANK(D60,D$8:D$64,1),"")</f>
        <v/>
      </c>
      <c r="D60" s="470" t="str">
        <f t="shared" si="1"/>
        <v/>
      </c>
      <c r="E60" s="471">
        <f ca="1">RANK(L60,L$8:L$64,1)</f>
        <v>53</v>
      </c>
      <c r="F60" s="1106" t="s">
        <v>272</v>
      </c>
      <c r="G60" s="472"/>
      <c r="H60" s="473"/>
      <c r="I60" s="474">
        <f ca="1">(IF(COUNT(P60,R60,X60,Y60)&lt;3,SUM(P60,R60,X60,Y60),SUM(LARGE((P60,R60,X60,Y60),{1;2;3}))))+(IF(COUNT(Q60,S60,U60,W60)&lt;3,SUM(Q60,S60,U60,W60),SUM(LARGE((Q60,S60,U60,W60),{1;2;3}))))+(IF(COUNT(T60,V60,Z60,AA60,AB60,AC60)&lt;4,SUM(T60,V60,Z60,AA60,AB60,AC60),SUM(LARGE((T60,V60,Z60,AA60,AB60,AC60),{1;2;3;4}))))</f>
        <v>2</v>
      </c>
      <c r="J60" s="475" t="str">
        <f ca="1">INDEX(ETAPP!B$1:B$32,MATCH(COUNTIF(P60:AC60,PIV!A$1),ETAPP!A$1:A$32,0))&amp;INDEX(ETAPP!B$1:B$32,MATCH(COUNTIF(P60:AC60,PIV!A$2),ETAPP!A$1:A$32,0))&amp;INDEX(ETAPP!B$1:B$32,MATCH(COUNTIF(P60:AC60,PIV!A$3),ETAPP!A$1:A$32,0))&amp;INDEX(ETAPP!B$1:B$32,MATCH(COUNTIF(P60:AC60,PIV!A$4),ETAPP!A$1:A$32,0))&amp;INDEX(ETAPP!B$1:B$32,MATCH(COUNTIF(P60:AC60,PIV!A$5),ETAPP!A$1:A$32,0))&amp;INDEX(ETAPP!B$1:B$32,MATCH(COUNTIF(P60:AC60,PIV!A$6),ETAPP!A$1:A$32,0))&amp;INDEX(ETAPP!B$1:B$32,MATCH(COUNTIF(P60:AC60,PIV!A$7),ETAPP!A$1:A$32,0))&amp;INDEX(ETAPP!B$1:B$32,MATCH(COUNTIF(P60:AC60,PIV!A$8),ETAPP!A$1:A$32,0))&amp;INDEX(ETAPP!B$1:B$32,MATCH(COUNTIF(P60:AC60,PIV!A$9),ETAPP!A$1:A$32,0))&amp;INDEX(ETAPP!B$1:B$32,MATCH(COUNTIF(P60:AC60,PIV!A$10),ETAPP!A$1:A$32,0))&amp;INDEX(ETAPP!B$1:B$32,MATCH(COUNTIF(P60:AC60,PIV!A$11),ETAPP!A$1:A$32,0))&amp;INDEX(ETAPP!B$1:B$32,MATCH(COUNTIF(P60:AC60,PIV!A$12),ETAPP!A$1:A$32,0))&amp;INDEX(ETAPP!B$1:B$32,MATCH(COUNTIF(P60:AC60,PIV!A$13),ETAPP!A$1:A$32,0))&amp;INDEX(ETAPP!B$1:B$32,MATCH(COUNTIF(P60:AC60,PIV!A$14),ETAPP!A$1:A$32,0))&amp;INDEX(ETAPP!B$1:B$32,MATCH(COUNTIF(P60:AC60,PIV!A$15),ETAPP!A$1:A$32,0))&amp;INDEX(ETAPP!B$1:B$32,MATCH(COUNTIF(P60:AC60,PIV!A$16),ETAPP!A$1:A$32,0))&amp;INDEX(ETAPP!B$1:B$32,MATCH(COUNTIF(P60:AC60,PIV!A$17),ETAPP!A$1:A$32,0))&amp;INDEX(ETAPP!B$1:B$32,MATCH(COUNTIF(P60:AC60,PIV!A$18),ETAPP!A$1:A$32,0))&amp;INDEX(ETAPP!B$1:B$32,MATCH(COUNTIF(P60:AC60,PIV!A$19),ETAPP!A$1:A$32,0))</f>
        <v>000000000000000A00H</v>
      </c>
      <c r="K60" s="475" t="str">
        <f t="shared" ca="1" si="2"/>
        <v>002,0-000000000000000A00H</v>
      </c>
      <c r="L60" s="476">
        <f ca="1">COUNTIF(K$8:K$64,"&gt;="&amp;K60)</f>
        <v>53</v>
      </c>
      <c r="M60" s="476">
        <f>COUNTIF(F$8:F$64,"&gt;="&amp;F60)</f>
        <v>51</v>
      </c>
      <c r="N60" s="475" t="str">
        <f t="shared" ca="1" si="3"/>
        <v>002,0-000000000000000A00H-051</v>
      </c>
      <c r="O60" s="477">
        <f ca="1">COUNTIF(N$8:N$64,"&lt;="&amp;N60)</f>
        <v>5</v>
      </c>
      <c r="P60" s="478" t="str">
        <f>IFERROR(INDEX('1'!C$300:C$400,MATCH("*"&amp;F60&amp;"*",'1'!B$300:B$400,0)),"  ")</f>
        <v xml:space="preserve">  </v>
      </c>
      <c r="Q60" s="479" t="str">
        <f>IFERROR(INDEX('2'!C$300:C$400,MATCH("*"&amp;F60&amp;"*",'2'!B$300:B$400,0)),"  ")</f>
        <v xml:space="preserve">  </v>
      </c>
      <c r="R60" s="479" t="str">
        <f>IFERROR(INDEX('3'!C$300:C$400,MATCH("*"&amp;F60&amp;"*",'3'!B$300:B$400,0)),"  ")</f>
        <v xml:space="preserve">  </v>
      </c>
      <c r="S60" s="479" t="str">
        <f>IFERROR(INDEX('4'!C$300:C$400,MATCH("*"&amp;F60&amp;"*",'4'!B$300:B$400,0)),"  ")</f>
        <v xml:space="preserve">  </v>
      </c>
      <c r="T60" s="479" t="str">
        <f>IFERROR(INDEX('5'!C$300:C$400,MATCH("*"&amp;F60&amp;"*",'5'!B$300:B$400,0)),"  ")</f>
        <v xml:space="preserve">  </v>
      </c>
      <c r="U60" s="479">
        <f>IFERROR(INDEX('6'!C$300:C$400,MATCH("*"&amp;F60&amp;"*",'6'!B$300:B$400,0)),"  ")</f>
        <v>2</v>
      </c>
      <c r="V60" s="479" t="str">
        <f ca="1">IFERROR(INDEX('7'!C$300:C$400,MATCH("*"&amp;F60&amp;"*",'7'!B$300:B$400,0)),"  ")</f>
        <v xml:space="preserve">  </v>
      </c>
      <c r="W60" s="479" t="str">
        <f>IFERROR(INDEX('8'!C$300:C$400,MATCH("*"&amp;F60&amp;"*",'8'!B$300:B$400,0)),"  ")</f>
        <v xml:space="preserve">  </v>
      </c>
      <c r="X60" s="479" t="str">
        <f>IFERROR(INDEX('9'!C$300:C$400,MATCH("*"&amp;F60&amp;"*",'9'!B$300:B$400,0)),"  ")</f>
        <v xml:space="preserve">  </v>
      </c>
      <c r="Y60" s="479" t="str">
        <f>IFERROR(INDEX('10'!C$300:C$400,MATCH("*"&amp;F60&amp;"*",'10'!B$300:B$400,0)),"  ")</f>
        <v xml:space="preserve">  </v>
      </c>
      <c r="Z60" s="478" t="str">
        <f>IFERROR(INDEX('11'!C$300:C$400,MATCH("*"&amp;F60&amp;"*",'11'!B$300:B$400,0)),"  ")</f>
        <v xml:space="preserve">  </v>
      </c>
      <c r="AA60" s="479" t="str">
        <f>IFERROR(INDEX('12'!C$300:C$400,MATCH("*"&amp;F60&amp;"*",'12'!B$300:B$400,0)),"  ")</f>
        <v xml:space="preserve">  </v>
      </c>
      <c r="AB60" s="479" t="str">
        <f>IFERROR(INDEX('13'!C$300:C$400,MATCH("*"&amp;F60&amp;"*",'13'!B$300:B$400,0)),"  ")</f>
        <v xml:space="preserve">  </v>
      </c>
      <c r="AC60" s="479" t="str">
        <f>IFERROR(INDEX('14'!C$300:C$400,MATCH("*"&amp;F60&amp;"*",'14'!B$300:B$400,0)),"  ")</f>
        <v xml:space="preserve">  </v>
      </c>
      <c r="AD60" s="481">
        <f t="shared" ca="1" si="4"/>
        <v>1</v>
      </c>
      <c r="AE60" s="481">
        <f t="shared" ca="1" si="5"/>
        <v>0</v>
      </c>
      <c r="AF60" s="481">
        <f t="shared" ca="1" si="6"/>
        <v>0</v>
      </c>
      <c r="AG60" s="482">
        <f t="shared" si="10"/>
        <v>1E-4</v>
      </c>
      <c r="AH60" s="482">
        <f t="shared" si="7"/>
        <v>2.0000000000000001E-4</v>
      </c>
      <c r="AI60" s="482">
        <f t="shared" ca="1" si="8"/>
        <v>5.0000000000000001E-4</v>
      </c>
      <c r="AJ60" s="482" t="e">
        <f t="shared" ca="1" si="9"/>
        <v>#VALUE!</v>
      </c>
      <c r="AK60" s="412"/>
    </row>
    <row r="61" spans="1:37" x14ac:dyDescent="0.2">
      <c r="A61" s="467" t="str">
        <f>IFERROR(RANK(B61,B$8:B$64,1),"")</f>
        <v/>
      </c>
      <c r="B61" s="468" t="str">
        <f t="shared" si="0"/>
        <v/>
      </c>
      <c r="C61" s="469" t="str">
        <f>IFERROR(RANK(D61,D$8:D$64,1),"")</f>
        <v/>
      </c>
      <c r="D61" s="470" t="str">
        <f t="shared" si="1"/>
        <v/>
      </c>
      <c r="E61" s="471">
        <f ca="1">RANK(L61,L$8:L$64,1)</f>
        <v>54</v>
      </c>
      <c r="F61" s="487" t="s">
        <v>273</v>
      </c>
      <c r="G61" s="472"/>
      <c r="H61" s="473"/>
      <c r="I61" s="474">
        <f ca="1">(IF(COUNT(P61,R61,X61,Y61)&lt;3,SUM(P61,R61,X61,Y61),SUM(LARGE((P61,R61,X61,Y61),{1;2;3}))))+(IF(COUNT(Q61,S61,U61,W61)&lt;3,SUM(Q61,S61,U61,W61),SUM(LARGE((Q61,S61,U61,W61),{1;2;3}))))+(IF(COUNT(T61,V61,Z61,AA61,AB61,AC61)&lt;4,SUM(T61,V61,Z61,AA61,AB61,AC61),SUM(LARGE((T61,V61,Z61,AA61,AB61,AC61),{1;2;3;4}))))</f>
        <v>1</v>
      </c>
      <c r="J61" s="475" t="str">
        <f ca="1">INDEX(ETAPP!B$1:B$32,MATCH(COUNTIF(P61:AC61,PIV!A$1),ETAPP!A$1:A$32,0))&amp;INDEX(ETAPP!B$1:B$32,MATCH(COUNTIF(P61:AC61,PIV!A$2),ETAPP!A$1:A$32,0))&amp;INDEX(ETAPP!B$1:B$32,MATCH(COUNTIF(P61:AC61,PIV!A$3),ETAPP!A$1:A$32,0))&amp;INDEX(ETAPP!B$1:B$32,MATCH(COUNTIF(P61:AC61,PIV!A$4),ETAPP!A$1:A$32,0))&amp;INDEX(ETAPP!B$1:B$32,MATCH(COUNTIF(P61:AC61,PIV!A$5),ETAPP!A$1:A$32,0))&amp;INDEX(ETAPP!B$1:B$32,MATCH(COUNTIF(P61:AC61,PIV!A$6),ETAPP!A$1:A$32,0))&amp;INDEX(ETAPP!B$1:B$32,MATCH(COUNTIF(P61:AC61,PIV!A$7),ETAPP!A$1:A$32,0))&amp;INDEX(ETAPP!B$1:B$32,MATCH(COUNTIF(P61:AC61,PIV!A$8),ETAPP!A$1:A$32,0))&amp;INDEX(ETAPP!B$1:B$32,MATCH(COUNTIF(P61:AC61,PIV!A$9),ETAPP!A$1:A$32,0))&amp;INDEX(ETAPP!B$1:B$32,MATCH(COUNTIF(P61:AC61,PIV!A$10),ETAPP!A$1:A$32,0))&amp;INDEX(ETAPP!B$1:B$32,MATCH(COUNTIF(P61:AC61,PIV!A$11),ETAPP!A$1:A$32,0))&amp;INDEX(ETAPP!B$1:B$32,MATCH(COUNTIF(P61:AC61,PIV!A$12),ETAPP!A$1:A$32,0))&amp;INDEX(ETAPP!B$1:B$32,MATCH(COUNTIF(P61:AC61,PIV!A$13),ETAPP!A$1:A$32,0))&amp;INDEX(ETAPP!B$1:B$32,MATCH(COUNTIF(P61:AC61,PIV!A$14),ETAPP!A$1:A$32,0))&amp;INDEX(ETAPP!B$1:B$32,MATCH(COUNTIF(P61:AC61,PIV!A$15),ETAPP!A$1:A$32,0))&amp;INDEX(ETAPP!B$1:B$32,MATCH(COUNTIF(P61:AC61,PIV!A$16),ETAPP!A$1:A$32,0))&amp;INDEX(ETAPP!B$1:B$32,MATCH(COUNTIF(P61:AC61,PIV!A$17),ETAPP!A$1:A$32,0))&amp;INDEX(ETAPP!B$1:B$32,MATCH(COUNTIF(P61:AC61,PIV!A$18),ETAPP!A$1:A$32,0))&amp;INDEX(ETAPP!B$1:B$32,MATCH(COUNTIF(P61:AC61,PIV!A$19),ETAPP!A$1:A$32,0))</f>
        <v>0000000000000000A0H</v>
      </c>
      <c r="K61" s="475" t="str">
        <f t="shared" ca="1" si="2"/>
        <v>001,0-0000000000000000A0H</v>
      </c>
      <c r="L61" s="476">
        <f ca="1">COUNTIF(K$8:K$64,"&gt;="&amp;K61)</f>
        <v>57</v>
      </c>
      <c r="M61" s="476">
        <f>COUNTIF(F$8:F$64,"&gt;="&amp;F61)</f>
        <v>27</v>
      </c>
      <c r="N61" s="475" t="str">
        <f t="shared" ca="1" si="3"/>
        <v>001,0-0000000000000000A0H-027</v>
      </c>
      <c r="O61" s="477">
        <f ca="1">COUNTIF(N$8:N$64,"&lt;="&amp;N61)</f>
        <v>4</v>
      </c>
      <c r="P61" s="478" t="str">
        <f>IFERROR(INDEX('1'!C$300:C$400,MATCH("*"&amp;F61&amp;"*",'1'!B$300:B$400,0)),"  ")</f>
        <v xml:space="preserve">  </v>
      </c>
      <c r="Q61" s="479" t="str">
        <f>IFERROR(INDEX('2'!C$300:C$400,MATCH("*"&amp;F61&amp;"*",'2'!B$300:B$400,0)),"  ")</f>
        <v xml:space="preserve">  </v>
      </c>
      <c r="R61" s="479" t="str">
        <f>IFERROR(INDEX('3'!C$300:C$400,MATCH("*"&amp;F61&amp;"*",'3'!B$300:B$400,0)),"  ")</f>
        <v xml:space="preserve">  </v>
      </c>
      <c r="S61" s="479" t="str">
        <f>IFERROR(INDEX('4'!C$300:C$400,MATCH("*"&amp;F61&amp;"*",'4'!B$300:B$400,0)),"  ")</f>
        <v xml:space="preserve">  </v>
      </c>
      <c r="T61" s="479">
        <f>IFERROR(INDEX('5'!C$300:C$400,MATCH("*"&amp;F61&amp;"*",'5'!B$300:B$400,0)),"  ")</f>
        <v>1</v>
      </c>
      <c r="U61" s="479" t="str">
        <f>IFERROR(INDEX('6'!C$300:C$400,MATCH("*"&amp;F61&amp;"*",'6'!B$300:B$400,0)),"  ")</f>
        <v xml:space="preserve">  </v>
      </c>
      <c r="V61" s="479" t="str">
        <f ca="1">IFERROR(INDEX('7'!C$300:C$400,MATCH("*"&amp;F61&amp;"*",'7'!B$300:B$400,0)),"  ")</f>
        <v xml:space="preserve">  </v>
      </c>
      <c r="W61" s="479" t="str">
        <f>IFERROR(INDEX('8'!C$300:C$400,MATCH("*"&amp;F61&amp;"*",'8'!B$300:B$400,0)),"  ")</f>
        <v xml:space="preserve">  </v>
      </c>
      <c r="X61" s="479" t="str">
        <f>IFERROR(INDEX('9'!C$300:C$400,MATCH("*"&amp;F61&amp;"*",'9'!B$300:B$400,0)),"  ")</f>
        <v xml:space="preserve">  </v>
      </c>
      <c r="Y61" s="479" t="str">
        <f>IFERROR(INDEX('10'!C$300:C$400,MATCH("*"&amp;F61&amp;"*",'10'!B$300:B$400,0)),"  ")</f>
        <v xml:space="preserve">  </v>
      </c>
      <c r="Z61" s="478" t="str">
        <f>IFERROR(INDEX('11'!C$300:C$400,MATCH("*"&amp;F61&amp;"*",'11'!B$300:B$400,0)),"  ")</f>
        <v xml:space="preserve">  </v>
      </c>
      <c r="AA61" s="479" t="str">
        <f>IFERROR(INDEX('12'!C$300:C$400,MATCH("*"&amp;F61&amp;"*",'12'!B$300:B$400,0)),"  ")</f>
        <v xml:space="preserve">  </v>
      </c>
      <c r="AB61" s="479" t="str">
        <f>IFERROR(INDEX('13'!C$300:C$400,MATCH("*"&amp;F61&amp;"*",'13'!B$300:B$400,0)),"  ")</f>
        <v xml:space="preserve">  </v>
      </c>
      <c r="AC61" s="479" t="str">
        <f>IFERROR(INDEX('14'!C$300:C$400,MATCH("*"&amp;F61&amp;"*",'14'!B$300:B$400,0)),"  ")</f>
        <v xml:space="preserve">  </v>
      </c>
      <c r="AD61" s="481">
        <f t="shared" ca="1" si="4"/>
        <v>1</v>
      </c>
      <c r="AE61" s="481">
        <f t="shared" ca="1" si="5"/>
        <v>0</v>
      </c>
      <c r="AF61" s="481">
        <f t="shared" ca="1" si="6"/>
        <v>0</v>
      </c>
      <c r="AG61" s="482">
        <f t="shared" si="10"/>
        <v>1E-4</v>
      </c>
      <c r="AH61" s="482">
        <f t="shared" si="7"/>
        <v>2.0000000000000001E-4</v>
      </c>
      <c r="AI61" s="482">
        <f t="shared" ca="1" si="8"/>
        <v>6.9999999999999999E-4</v>
      </c>
      <c r="AJ61" s="482">
        <f t="shared" ca="1" si="9"/>
        <v>1.1000000000000001E-3</v>
      </c>
      <c r="AK61" s="412"/>
    </row>
    <row r="62" spans="1:37" x14ac:dyDescent="0.2">
      <c r="A62" s="467" t="str">
        <f>IFERROR(RANK(B62,B$8:B$64,1),"")</f>
        <v/>
      </c>
      <c r="B62" s="468" t="str">
        <f t="shared" si="0"/>
        <v/>
      </c>
      <c r="C62" s="469" t="str">
        <f>IFERROR(RANK(D62,D$8:D$64,1),"")</f>
        <v/>
      </c>
      <c r="D62" s="470" t="str">
        <f t="shared" si="1"/>
        <v/>
      </c>
      <c r="E62" s="471">
        <f ca="1">RANK(L62,L$8:L$64,1)</f>
        <v>54</v>
      </c>
      <c r="F62" s="487" t="s">
        <v>274</v>
      </c>
      <c r="G62" s="460"/>
      <c r="H62" s="483"/>
      <c r="I62" s="474">
        <f ca="1">(IF(COUNT(P62,R62,X62,Y62)&lt;3,SUM(P62,R62,X62,Y62),SUM(LARGE((P62,R62,X62,Y62),{1;2;3}))))+(IF(COUNT(Q62,S62,U62,W62)&lt;3,SUM(Q62,S62,U62,W62),SUM(LARGE((Q62,S62,U62,W62),{1;2;3}))))+(IF(COUNT(T62,V62,Z62,AA62,AB62,AC62)&lt;4,SUM(T62,V62,Z62,AA62,AB62,AC62),SUM(LARGE((T62,V62,Z62,AA62,AB62,AC62),{1;2;3;4}))))</f>
        <v>1</v>
      </c>
      <c r="J62" s="475" t="str">
        <f ca="1">INDEX(ETAPP!B$1:B$32,MATCH(COUNTIF(P62:AC62,PIV!A$1),ETAPP!A$1:A$32,0))&amp;INDEX(ETAPP!B$1:B$32,MATCH(COUNTIF(P62:AC62,PIV!A$2),ETAPP!A$1:A$32,0))&amp;INDEX(ETAPP!B$1:B$32,MATCH(COUNTIF(P62:AC62,PIV!A$3),ETAPP!A$1:A$32,0))&amp;INDEX(ETAPP!B$1:B$32,MATCH(COUNTIF(P62:AC62,PIV!A$4),ETAPP!A$1:A$32,0))&amp;INDEX(ETAPP!B$1:B$32,MATCH(COUNTIF(P62:AC62,PIV!A$5),ETAPP!A$1:A$32,0))&amp;INDEX(ETAPP!B$1:B$32,MATCH(COUNTIF(P62:AC62,PIV!A$6),ETAPP!A$1:A$32,0))&amp;INDEX(ETAPP!B$1:B$32,MATCH(COUNTIF(P62:AC62,PIV!A$7),ETAPP!A$1:A$32,0))&amp;INDEX(ETAPP!B$1:B$32,MATCH(COUNTIF(P62:AC62,PIV!A$8),ETAPP!A$1:A$32,0))&amp;INDEX(ETAPP!B$1:B$32,MATCH(COUNTIF(P62:AC62,PIV!A$9),ETAPP!A$1:A$32,0))&amp;INDEX(ETAPP!B$1:B$32,MATCH(COUNTIF(P62:AC62,PIV!A$10),ETAPP!A$1:A$32,0))&amp;INDEX(ETAPP!B$1:B$32,MATCH(COUNTIF(P62:AC62,PIV!A$11),ETAPP!A$1:A$32,0))&amp;INDEX(ETAPP!B$1:B$32,MATCH(COUNTIF(P62:AC62,PIV!A$12),ETAPP!A$1:A$32,0))&amp;INDEX(ETAPP!B$1:B$32,MATCH(COUNTIF(P62:AC62,PIV!A$13),ETAPP!A$1:A$32,0))&amp;INDEX(ETAPP!B$1:B$32,MATCH(COUNTIF(P62:AC62,PIV!A$14),ETAPP!A$1:A$32,0))&amp;INDEX(ETAPP!B$1:B$32,MATCH(COUNTIF(P62:AC62,PIV!A$15),ETAPP!A$1:A$32,0))&amp;INDEX(ETAPP!B$1:B$32,MATCH(COUNTIF(P62:AC62,PIV!A$16),ETAPP!A$1:A$32,0))&amp;INDEX(ETAPP!B$1:B$32,MATCH(COUNTIF(P62:AC62,PIV!A$17),ETAPP!A$1:A$32,0))&amp;INDEX(ETAPP!B$1:B$32,MATCH(COUNTIF(P62:AC62,PIV!A$18),ETAPP!A$1:A$32,0))&amp;INDEX(ETAPP!B$1:B$32,MATCH(COUNTIF(P62:AC62,PIV!A$19),ETAPP!A$1:A$32,0))</f>
        <v>0000000000000000A0H</v>
      </c>
      <c r="K62" s="475" t="str">
        <f t="shared" ca="1" si="2"/>
        <v>001,0-0000000000000000A0H</v>
      </c>
      <c r="L62" s="476">
        <f ca="1">COUNTIF(K$8:K$64,"&gt;="&amp;K62)</f>
        <v>57</v>
      </c>
      <c r="M62" s="476">
        <f>COUNTIF(F$8:F$64,"&gt;="&amp;F62)</f>
        <v>22</v>
      </c>
      <c r="N62" s="475" t="str">
        <f t="shared" ca="1" si="3"/>
        <v>001,0-0000000000000000A0H-022</v>
      </c>
      <c r="O62" s="477">
        <f ca="1">COUNTIF(N$8:N$64,"&lt;="&amp;N62)</f>
        <v>3</v>
      </c>
      <c r="P62" s="478" t="str">
        <f>IFERROR(INDEX('1'!C$300:C$400,MATCH("*"&amp;F62&amp;"*",'1'!B$300:B$400,0)),"  ")</f>
        <v xml:space="preserve">  </v>
      </c>
      <c r="Q62" s="479" t="str">
        <f>IFERROR(INDEX('2'!C$300:C$400,MATCH("*"&amp;F62&amp;"*",'2'!B$300:B$400,0)),"  ")</f>
        <v xml:space="preserve">  </v>
      </c>
      <c r="R62" s="479" t="str">
        <f>IFERROR(INDEX('3'!C$300:C$400,MATCH("*"&amp;F62&amp;"*",'3'!B$300:B$400,0)),"  ")</f>
        <v xml:space="preserve">  </v>
      </c>
      <c r="S62" s="479" t="str">
        <f>IFERROR(INDEX('4'!C$300:C$400,MATCH("*"&amp;F62&amp;"*",'4'!B$300:B$400,0)),"  ")</f>
        <v xml:space="preserve">  </v>
      </c>
      <c r="T62" s="479" t="str">
        <f>IFERROR(INDEX('5'!C$300:C$400,MATCH("*"&amp;F62&amp;"*",'5'!B$300:B$400,0)),"  ")</f>
        <v xml:space="preserve">  </v>
      </c>
      <c r="U62" s="479">
        <f>IFERROR(INDEX('6'!C$300:C$400,MATCH("*"&amp;F62&amp;"*",'6'!B$300:B$400,0)),"  ")</f>
        <v>1</v>
      </c>
      <c r="V62" s="479" t="str">
        <f ca="1">IFERROR(INDEX('7'!C$300:C$400,MATCH("*"&amp;F62&amp;"*",'7'!B$300:B$400,0)),"  ")</f>
        <v xml:space="preserve">  </v>
      </c>
      <c r="W62" s="479" t="str">
        <f>IFERROR(INDEX('8'!C$300:C$400,MATCH("*"&amp;F62&amp;"*",'8'!B$300:B$400,0)),"  ")</f>
        <v xml:space="preserve">  </v>
      </c>
      <c r="X62" s="479" t="str">
        <f>IFERROR(INDEX('9'!C$300:C$400,MATCH("*"&amp;F62&amp;"*",'9'!B$300:B$400,0)),"  ")</f>
        <v xml:space="preserve">  </v>
      </c>
      <c r="Y62" s="479" t="str">
        <f>IFERROR(INDEX('10'!C$300:C$400,MATCH("*"&amp;F62&amp;"*",'10'!B$300:B$400,0)),"  ")</f>
        <v xml:space="preserve">  </v>
      </c>
      <c r="Z62" s="478" t="str">
        <f>IFERROR(INDEX('11'!C$300:C$400,MATCH("*"&amp;F62&amp;"*",'11'!B$300:B$400,0)),"  ")</f>
        <v xml:space="preserve">  </v>
      </c>
      <c r="AA62" s="479" t="str">
        <f>IFERROR(INDEX('12'!C$300:C$400,MATCH("*"&amp;F62&amp;"*",'12'!B$300:B$400,0)),"  ")</f>
        <v xml:space="preserve">  </v>
      </c>
      <c r="AB62" s="479" t="str">
        <f>IFERROR(INDEX('13'!C$300:C$400,MATCH("*"&amp;F62&amp;"*",'13'!B$300:B$400,0)),"  ")</f>
        <v xml:space="preserve">  </v>
      </c>
      <c r="AC62" s="479" t="str">
        <f>IFERROR(INDEX('14'!C$300:C$400,MATCH("*"&amp;F62&amp;"*",'14'!B$300:B$400,0)),"  ")</f>
        <v xml:space="preserve">  </v>
      </c>
      <c r="AD62" s="481">
        <f t="shared" ca="1" si="4"/>
        <v>1</v>
      </c>
      <c r="AE62" s="481">
        <f t="shared" ca="1" si="5"/>
        <v>0</v>
      </c>
      <c r="AF62" s="481">
        <f t="shared" ca="1" si="6"/>
        <v>0</v>
      </c>
      <c r="AG62" s="482">
        <f t="shared" si="10"/>
        <v>1E-4</v>
      </c>
      <c r="AH62" s="482">
        <f t="shared" si="7"/>
        <v>2.0000000000000001E-4</v>
      </c>
      <c r="AI62" s="482">
        <f t="shared" ca="1" si="8"/>
        <v>5.0000000000000001E-4</v>
      </c>
      <c r="AJ62" s="482" t="e">
        <f t="shared" ca="1" si="9"/>
        <v>#VALUE!</v>
      </c>
      <c r="AK62" s="412"/>
    </row>
    <row r="63" spans="1:37" x14ac:dyDescent="0.2">
      <c r="A63" s="467" t="str">
        <f>IFERROR(RANK(B63,B$8:B$64,1),"")</f>
        <v/>
      </c>
      <c r="B63" s="468" t="str">
        <f t="shared" si="0"/>
        <v/>
      </c>
      <c r="C63" s="469">
        <f ca="1">IFERROR(RANK(D63,D$8:D$64,1),"")</f>
        <v>6</v>
      </c>
      <c r="D63" s="470">
        <f t="shared" ca="1" si="1"/>
        <v>57</v>
      </c>
      <c r="E63" s="471">
        <f ca="1">RANK(L63,L$8:L$64,1)</f>
        <v>54</v>
      </c>
      <c r="F63" s="487" t="s">
        <v>275</v>
      </c>
      <c r="G63" s="460"/>
      <c r="H63" s="483" t="s">
        <v>240</v>
      </c>
      <c r="I63" s="474">
        <f ca="1">(IF(COUNT(P63,R63,X63,Y63)&lt;3,SUM(P63,R63,X63,Y63),SUM(LARGE((P63,R63,X63,Y63),{1;2;3}))))+(IF(COUNT(Q63,S63,U63,W63)&lt;3,SUM(Q63,S63,U63,W63),SUM(LARGE((Q63,S63,U63,W63),{1;2;3}))))+(IF(COUNT(T63,V63,Z63,AA63,AB63,AC63)&lt;4,SUM(T63,V63,Z63,AA63,AB63,AC63),SUM(LARGE((T63,V63,Z63,AA63,AB63,AC63),{1;2;3;4}))))</f>
        <v>1</v>
      </c>
      <c r="J63" s="475" t="str">
        <f ca="1">INDEX(ETAPP!B$1:B$32,MATCH(COUNTIF(P63:AC63,PIV!A$1),ETAPP!A$1:A$32,0))&amp;INDEX(ETAPP!B$1:B$32,MATCH(COUNTIF(P63:AC63,PIV!A$2),ETAPP!A$1:A$32,0))&amp;INDEX(ETAPP!B$1:B$32,MATCH(COUNTIF(P63:AC63,PIV!A$3),ETAPP!A$1:A$32,0))&amp;INDEX(ETAPP!B$1:B$32,MATCH(COUNTIF(P63:AC63,PIV!A$4),ETAPP!A$1:A$32,0))&amp;INDEX(ETAPP!B$1:B$32,MATCH(COUNTIF(P63:AC63,PIV!A$5),ETAPP!A$1:A$32,0))&amp;INDEX(ETAPP!B$1:B$32,MATCH(COUNTIF(P63:AC63,PIV!A$6),ETAPP!A$1:A$32,0))&amp;INDEX(ETAPP!B$1:B$32,MATCH(COUNTIF(P63:AC63,PIV!A$7),ETAPP!A$1:A$32,0))&amp;INDEX(ETAPP!B$1:B$32,MATCH(COUNTIF(P63:AC63,PIV!A$8),ETAPP!A$1:A$32,0))&amp;INDEX(ETAPP!B$1:B$32,MATCH(COUNTIF(P63:AC63,PIV!A$9),ETAPP!A$1:A$32,0))&amp;INDEX(ETAPP!B$1:B$32,MATCH(COUNTIF(P63:AC63,PIV!A$10),ETAPP!A$1:A$32,0))&amp;INDEX(ETAPP!B$1:B$32,MATCH(COUNTIF(P63:AC63,PIV!A$11),ETAPP!A$1:A$32,0))&amp;INDEX(ETAPP!B$1:B$32,MATCH(COUNTIF(P63:AC63,PIV!A$12),ETAPP!A$1:A$32,0))&amp;INDEX(ETAPP!B$1:B$32,MATCH(COUNTIF(P63:AC63,PIV!A$13),ETAPP!A$1:A$32,0))&amp;INDEX(ETAPP!B$1:B$32,MATCH(COUNTIF(P63:AC63,PIV!A$14),ETAPP!A$1:A$32,0))&amp;INDEX(ETAPP!B$1:B$32,MATCH(COUNTIF(P63:AC63,PIV!A$15),ETAPP!A$1:A$32,0))&amp;INDEX(ETAPP!B$1:B$32,MATCH(COUNTIF(P63:AC63,PIV!A$16),ETAPP!A$1:A$32,0))&amp;INDEX(ETAPP!B$1:B$32,MATCH(COUNTIF(P63:AC63,PIV!A$17),ETAPP!A$1:A$32,0))&amp;INDEX(ETAPP!B$1:B$32,MATCH(COUNTIF(P63:AC63,PIV!A$18),ETAPP!A$1:A$32,0))&amp;INDEX(ETAPP!B$1:B$32,MATCH(COUNTIF(P63:AC63,PIV!A$19),ETAPP!A$1:A$32,0))</f>
        <v>0000000000000000A0H</v>
      </c>
      <c r="K63" s="475" t="str">
        <f t="shared" ca="1" si="2"/>
        <v>001,0-0000000000000000A0H</v>
      </c>
      <c r="L63" s="476">
        <f ca="1">COUNTIF(K$8:K$64,"&gt;="&amp;K63)</f>
        <v>57</v>
      </c>
      <c r="M63" s="476">
        <f>COUNTIF(F$8:F$64,"&gt;="&amp;F63)</f>
        <v>21</v>
      </c>
      <c r="N63" s="475" t="str">
        <f t="shared" ca="1" si="3"/>
        <v>001,0-0000000000000000A0H-021</v>
      </c>
      <c r="O63" s="477">
        <f ca="1">COUNTIF(N$8:N$64,"&lt;="&amp;N63)</f>
        <v>2</v>
      </c>
      <c r="P63" s="478" t="str">
        <f>IFERROR(INDEX('1'!C$300:C$400,MATCH("*"&amp;F63&amp;"*",'1'!B$300:B$400,0)),"  ")</f>
        <v xml:space="preserve">  </v>
      </c>
      <c r="Q63" s="479" t="str">
        <f>IFERROR(INDEX('2'!C$300:C$400,MATCH("*"&amp;F63&amp;"*",'2'!B$300:B$400,0)),"  ")</f>
        <v xml:space="preserve">  </v>
      </c>
      <c r="R63" s="479" t="str">
        <f>IFERROR(INDEX('3'!C$300:C$400,MATCH("*"&amp;F63&amp;"*",'3'!B$300:B$400,0)),"  ")</f>
        <v xml:space="preserve">  </v>
      </c>
      <c r="S63" s="479" t="str">
        <f>IFERROR(INDEX('4'!C$300:C$400,MATCH("*"&amp;F63&amp;"*",'4'!B$300:B$400,0)),"  ")</f>
        <v xml:space="preserve">  </v>
      </c>
      <c r="T63" s="479" t="str">
        <f>IFERROR(INDEX('5'!C$300:C$400,MATCH("*"&amp;F63&amp;"*",'5'!B$300:B$400,0)),"  ")</f>
        <v xml:space="preserve">  </v>
      </c>
      <c r="U63" s="479" t="str">
        <f>IFERROR(INDEX('6'!C$300:C$400,MATCH("*"&amp;F63&amp;"*",'6'!B$300:B$400,0)),"  ")</f>
        <v xml:space="preserve">  </v>
      </c>
      <c r="V63" s="479" t="str">
        <f ca="1">IFERROR(INDEX('7'!C$300:C$400,MATCH("*"&amp;F63&amp;"*",'7'!B$300:B$400,0)),"  ")</f>
        <v xml:space="preserve">  </v>
      </c>
      <c r="W63" s="479" t="str">
        <f>IFERROR(INDEX('8'!C$300:C$400,MATCH("*"&amp;F63&amp;"*",'8'!B$300:B$400,0)),"  ")</f>
        <v xml:space="preserve">  </v>
      </c>
      <c r="X63" s="479" t="str">
        <f>IFERROR(INDEX('9'!C$300:C$400,MATCH("*"&amp;F63&amp;"*",'9'!B$300:B$400,0)),"  ")</f>
        <v xml:space="preserve">  </v>
      </c>
      <c r="Y63" s="479" t="str">
        <f>IFERROR(INDEX('10'!C$300:C$400,MATCH("*"&amp;F63&amp;"*",'10'!B$300:B$400,0)),"  ")</f>
        <v xml:space="preserve">  </v>
      </c>
      <c r="Z63" s="478">
        <f>IFERROR(INDEX('11'!C$300:C$400,MATCH("*"&amp;F63&amp;"*",'11'!B$300:B$400,0)),"  ")</f>
        <v>1</v>
      </c>
      <c r="AA63" s="479" t="str">
        <f>IFERROR(INDEX('12'!C$300:C$400,MATCH("*"&amp;F63&amp;"*",'12'!B$300:B$400,0)),"  ")</f>
        <v xml:space="preserve">  </v>
      </c>
      <c r="AB63" s="479" t="str">
        <f>IFERROR(INDEX('13'!C$300:C$400,MATCH("*"&amp;F63&amp;"*",'13'!B$300:B$400,0)),"  ")</f>
        <v xml:space="preserve">  </v>
      </c>
      <c r="AC63" s="479" t="str">
        <f>IFERROR(INDEX('14'!C$300:C$400,MATCH("*"&amp;F63&amp;"*",'14'!B$300:B$400,0)),"  ")</f>
        <v xml:space="preserve">  </v>
      </c>
      <c r="AD63" s="481">
        <f t="shared" ca="1" si="4"/>
        <v>1</v>
      </c>
      <c r="AE63" s="481">
        <f t="shared" ca="1" si="5"/>
        <v>0</v>
      </c>
      <c r="AF63" s="481">
        <f t="shared" ca="1" si="6"/>
        <v>0</v>
      </c>
      <c r="AG63" s="482">
        <f t="shared" si="10"/>
        <v>1E-4</v>
      </c>
      <c r="AH63" s="482">
        <f t="shared" si="7"/>
        <v>2.0000000000000001E-4</v>
      </c>
      <c r="AI63" s="482">
        <f t="shared" ca="1" si="8"/>
        <v>5.0000000000000001E-4</v>
      </c>
      <c r="AJ63" s="482" t="e">
        <f t="shared" ca="1" si="9"/>
        <v>#VALUE!</v>
      </c>
      <c r="AK63" s="412"/>
    </row>
    <row r="64" spans="1:37" x14ac:dyDescent="0.2">
      <c r="A64" s="467" t="str">
        <f>IFERROR(RANK(B64,B$8:B$64,1),"")</f>
        <v/>
      </c>
      <c r="B64" s="468" t="str">
        <f t="shared" si="0"/>
        <v/>
      </c>
      <c r="C64" s="469" t="str">
        <f>IFERROR(RANK(D64,D$8:D$64,1),"")</f>
        <v/>
      </c>
      <c r="D64" s="470" t="str">
        <f t="shared" si="1"/>
        <v/>
      </c>
      <c r="E64" s="471">
        <f ca="1">RANK(L64,L$8:L$64,1)</f>
        <v>54</v>
      </c>
      <c r="F64" s="487" t="s">
        <v>276</v>
      </c>
      <c r="G64" s="496"/>
      <c r="H64" s="473"/>
      <c r="I64" s="474">
        <f ca="1">(IF(COUNT(P64,R64,X64,Y64)&lt;3,SUM(P64,R64,X64,Y64),SUM(LARGE((P64,R64,X64,Y64),{1;2;3}))))+(IF(COUNT(Q64,S64,U64,W64)&lt;3,SUM(Q64,S64,U64,W64),SUM(LARGE((Q64,S64,U64,W64),{1;2;3}))))+(IF(COUNT(T64,V64,Z64,AA64,AB64,AC64)&lt;4,SUM(T64,V64,Z64,AA64,AB64,AC64),SUM(LARGE((T64,V64,Z64,AA64,AB64,AC64),{1;2;3;4}))))</f>
        <v>1</v>
      </c>
      <c r="J64" s="475" t="str">
        <f ca="1">INDEX(ETAPP!B$1:B$32,MATCH(COUNTIF(P64:AC64,PIV!A$1),ETAPP!A$1:A$32,0))&amp;INDEX(ETAPP!B$1:B$32,MATCH(COUNTIF(P64:AC64,PIV!A$2),ETAPP!A$1:A$32,0))&amp;INDEX(ETAPP!B$1:B$32,MATCH(COUNTIF(P64:AC64,PIV!A$3),ETAPP!A$1:A$32,0))&amp;INDEX(ETAPP!B$1:B$32,MATCH(COUNTIF(P64:AC64,PIV!A$4),ETAPP!A$1:A$32,0))&amp;INDEX(ETAPP!B$1:B$32,MATCH(COUNTIF(P64:AC64,PIV!A$5),ETAPP!A$1:A$32,0))&amp;INDEX(ETAPP!B$1:B$32,MATCH(COUNTIF(P64:AC64,PIV!A$6),ETAPP!A$1:A$32,0))&amp;INDEX(ETAPP!B$1:B$32,MATCH(COUNTIF(P64:AC64,PIV!A$7),ETAPP!A$1:A$32,0))&amp;INDEX(ETAPP!B$1:B$32,MATCH(COUNTIF(P64:AC64,PIV!A$8),ETAPP!A$1:A$32,0))&amp;INDEX(ETAPP!B$1:B$32,MATCH(COUNTIF(P64:AC64,PIV!A$9),ETAPP!A$1:A$32,0))&amp;INDEX(ETAPP!B$1:B$32,MATCH(COUNTIF(P64:AC64,PIV!A$10),ETAPP!A$1:A$32,0))&amp;INDEX(ETAPP!B$1:B$32,MATCH(COUNTIF(P64:AC64,PIV!A$11),ETAPP!A$1:A$32,0))&amp;INDEX(ETAPP!B$1:B$32,MATCH(COUNTIF(P64:AC64,PIV!A$12),ETAPP!A$1:A$32,0))&amp;INDEX(ETAPP!B$1:B$32,MATCH(COUNTIF(P64:AC64,PIV!A$13),ETAPP!A$1:A$32,0))&amp;INDEX(ETAPP!B$1:B$32,MATCH(COUNTIF(P64:AC64,PIV!A$14),ETAPP!A$1:A$32,0))&amp;INDEX(ETAPP!B$1:B$32,MATCH(COUNTIF(P64:AC64,PIV!A$15),ETAPP!A$1:A$32,0))&amp;INDEX(ETAPP!B$1:B$32,MATCH(COUNTIF(P64:AC64,PIV!A$16),ETAPP!A$1:A$32,0))&amp;INDEX(ETAPP!B$1:B$32,MATCH(COUNTIF(P64:AC64,PIV!A$17),ETAPP!A$1:A$32,0))&amp;INDEX(ETAPP!B$1:B$32,MATCH(COUNTIF(P64:AC64,PIV!A$18),ETAPP!A$1:A$32,0))&amp;INDEX(ETAPP!B$1:B$32,MATCH(COUNTIF(P64:AC64,PIV!A$19),ETAPP!A$1:A$32,0))</f>
        <v>0000000000000000A0H</v>
      </c>
      <c r="K64" s="475" t="str">
        <f t="shared" ca="1" si="2"/>
        <v>001,0-0000000000000000A0H</v>
      </c>
      <c r="L64" s="476">
        <f ca="1">COUNTIF(K$8:K$64,"&gt;="&amp;K64)</f>
        <v>57</v>
      </c>
      <c r="M64" s="476">
        <f>COUNTIF(F$8:F$64,"&gt;="&amp;F64)</f>
        <v>4</v>
      </c>
      <c r="N64" s="475" t="str">
        <f t="shared" ca="1" si="3"/>
        <v>001,0-0000000000000000A0H-004</v>
      </c>
      <c r="O64" s="477">
        <f ca="1">COUNTIF(N$8:N$64,"&lt;="&amp;N64)</f>
        <v>1</v>
      </c>
      <c r="P64" s="478" t="str">
        <f>IFERROR(INDEX('1'!C$300:C$400,MATCH("*"&amp;F64&amp;"*",'1'!B$300:B$400,0)),"  ")</f>
        <v xml:space="preserve">  </v>
      </c>
      <c r="Q64" s="479" t="str">
        <f>IFERROR(INDEX('2'!C$300:C$400,MATCH("*"&amp;F64&amp;"*",'2'!B$300:B$400,0)),"  ")</f>
        <v xml:space="preserve">  </v>
      </c>
      <c r="R64" s="479" t="str">
        <f>IFERROR(INDEX('3'!C$300:C$400,MATCH("*"&amp;F64&amp;"*",'3'!B$300:B$400,0)),"  ")</f>
        <v xml:space="preserve">  </v>
      </c>
      <c r="S64" s="479" t="str">
        <f>IFERROR(INDEX('4'!C$300:C$400,MATCH("*"&amp;F64&amp;"*",'4'!B$300:B$400,0)),"  ")</f>
        <v xml:space="preserve">  </v>
      </c>
      <c r="T64" s="479" t="str">
        <f>IFERROR(INDEX('5'!C$300:C$400,MATCH("*"&amp;F64&amp;"*",'5'!B$300:B$400,0)),"  ")</f>
        <v xml:space="preserve">  </v>
      </c>
      <c r="U64" s="479" t="str">
        <f>IFERROR(INDEX('6'!C$300:C$400,MATCH("*"&amp;F64&amp;"*",'6'!B$300:B$400,0)),"  ")</f>
        <v xml:space="preserve">  </v>
      </c>
      <c r="V64" s="479" t="str">
        <f ca="1">IFERROR(INDEX('7'!C$300:C$400,MATCH("*"&amp;F64&amp;"*",'7'!B$300:B$400,0)),"  ")</f>
        <v xml:space="preserve">  </v>
      </c>
      <c r="W64" s="479" t="str">
        <f>IFERROR(INDEX('8'!C$300:C$400,MATCH("*"&amp;F64&amp;"*",'8'!B$300:B$400,0)),"  ")</f>
        <v xml:space="preserve">  </v>
      </c>
      <c r="X64" s="479" t="str">
        <f>IFERROR(INDEX('9'!C$300:C$400,MATCH("*"&amp;F64&amp;"*",'9'!B$300:B$400,0)),"  ")</f>
        <v xml:space="preserve">  </v>
      </c>
      <c r="Y64" s="479" t="str">
        <f>IFERROR(INDEX('10'!C$300:C$400,MATCH("*"&amp;F64&amp;"*",'10'!B$300:B$400,0)),"  ")</f>
        <v xml:space="preserve">  </v>
      </c>
      <c r="Z64" s="478" t="str">
        <f>IFERROR(INDEX('11'!C$300:C$400,MATCH("*"&amp;F64&amp;"*",'11'!B$300:B$400,0)),"  ")</f>
        <v xml:space="preserve">  </v>
      </c>
      <c r="AA64" s="479">
        <f>IFERROR(INDEX('12'!C$300:C$400,MATCH("*"&amp;F64&amp;"*",'12'!B$300:B$400,0)),"  ")</f>
        <v>1</v>
      </c>
      <c r="AB64" s="479" t="str">
        <f>IFERROR(INDEX('13'!C$300:C$400,MATCH("*"&amp;F64&amp;"*",'13'!B$300:B$400,0)),"  ")</f>
        <v xml:space="preserve">  </v>
      </c>
      <c r="AC64" s="479" t="str">
        <f>IFERROR(INDEX('14'!C$300:C$400,MATCH("*"&amp;F64&amp;"*",'14'!B$300:B$400,0)),"  ")</f>
        <v xml:space="preserve">  </v>
      </c>
      <c r="AD64" s="481">
        <f t="shared" ca="1" si="4"/>
        <v>1</v>
      </c>
      <c r="AE64" s="481">
        <f t="shared" ca="1" si="5"/>
        <v>0</v>
      </c>
      <c r="AF64" s="481">
        <f t="shared" ca="1" si="6"/>
        <v>0</v>
      </c>
      <c r="AG64" s="482">
        <f t="shared" si="10"/>
        <v>1E-4</v>
      </c>
      <c r="AH64" s="482">
        <f t="shared" si="7"/>
        <v>2.0000000000000001E-4</v>
      </c>
      <c r="AI64" s="482">
        <f t="shared" ca="1" si="8"/>
        <v>5.0000000000000001E-4</v>
      </c>
      <c r="AJ64" s="482" t="e">
        <f t="shared" ca="1" si="9"/>
        <v>#VALUE!</v>
      </c>
      <c r="AK64" s="412"/>
    </row>
    <row r="65" spans="1:37" x14ac:dyDescent="0.2">
      <c r="A65" s="497">
        <f ca="1">COUNTIFS(A8:A64,"&gt;0",I8:I64,"&gt;0")</f>
        <v>8</v>
      </c>
      <c r="B65" s="497">
        <f ca="1">COUNTIFS(B8:B64,"&gt;0",J8:J64,"&gt;0")</f>
        <v>0</v>
      </c>
      <c r="C65" s="498">
        <f ca="1">COUNTIFS(C8:C64,"&gt;0",I8:I64,"&gt;0")</f>
        <v>6</v>
      </c>
      <c r="D65" s="498"/>
      <c r="E65" s="499">
        <f ca="1">COUNTIF(I8:I64,"&gt;0")</f>
        <v>57</v>
      </c>
      <c r="F65" s="500" t="s">
        <v>284</v>
      </c>
      <c r="G65" s="413"/>
      <c r="H65" s="413"/>
      <c r="I65" s="501"/>
      <c r="J65" s="501"/>
      <c r="K65" s="501"/>
      <c r="L65" s="501"/>
      <c r="M65" s="501"/>
      <c r="N65" s="501"/>
      <c r="O65" s="501"/>
      <c r="P65" s="502">
        <f>COUNTIF(P8:P64,"&gt;=0")</f>
        <v>18</v>
      </c>
      <c r="Q65" s="502">
        <f>COUNTIF(Q8:Q64,"&gt;=0")</f>
        <v>22</v>
      </c>
      <c r="R65" s="502">
        <f>COUNTIF(R8:R64,"&gt;=0")</f>
        <v>25</v>
      </c>
      <c r="S65" s="502">
        <f>COUNTIF(S8:S64,"&gt;=0")</f>
        <v>25</v>
      </c>
      <c r="T65" s="502">
        <f>COUNTIF(T8:T64,"&gt;=0")</f>
        <v>20</v>
      </c>
      <c r="U65" s="502">
        <f>COUNTIF(U8:U64,"&gt;=0")</f>
        <v>36</v>
      </c>
      <c r="V65" s="502">
        <f ca="1">COUNTIF(V8:V64,"&gt;=0")</f>
        <v>15</v>
      </c>
      <c r="W65" s="502">
        <f>COUNTIF(W8:W64,"&gt;=0")</f>
        <v>22</v>
      </c>
      <c r="X65" s="502">
        <f>COUNTIF(X8:X64,"&gt;=0")</f>
        <v>33</v>
      </c>
      <c r="Y65" s="502">
        <f>COUNTIF(Y8:Y64,"&gt;=0")</f>
        <v>19</v>
      </c>
      <c r="Z65" s="502">
        <f>COUNTIF(Z8:Z64,"&gt;=0")</f>
        <v>26</v>
      </c>
      <c r="AA65" s="502">
        <f>COUNTIF(AA8:AA64,"&gt;=0")</f>
        <v>22</v>
      </c>
      <c r="AB65" s="502">
        <f>COUNTIF(AB8:AB64,"&gt;=0")</f>
        <v>22</v>
      </c>
      <c r="AC65" s="502">
        <f>COUNTIF(AC8:AC64,"&gt;=0")</f>
        <v>24</v>
      </c>
      <c r="AD65" s="413"/>
      <c r="AE65" s="503">
        <f ca="1">SUM(AE8:AE64)</f>
        <v>79</v>
      </c>
      <c r="AF65" s="503">
        <f ca="1">SUM(AF8:AF64)</f>
        <v>27</v>
      </c>
      <c r="AG65" s="412"/>
      <c r="AH65" s="412"/>
      <c r="AI65" s="412"/>
      <c r="AJ65" s="412"/>
      <c r="AK65" s="412"/>
    </row>
    <row r="66" spans="1:37" x14ac:dyDescent="0.2">
      <c r="A66" s="413"/>
      <c r="B66" s="413"/>
      <c r="C66" s="504"/>
      <c r="D66" s="504"/>
      <c r="E66" s="413"/>
      <c r="F66" s="500" t="s">
        <v>285</v>
      </c>
      <c r="G66" s="413"/>
      <c r="H66" s="413"/>
      <c r="I66" s="501"/>
      <c r="J66" s="501"/>
      <c r="K66" s="501"/>
      <c r="L66" s="501"/>
      <c r="M66" s="501"/>
      <c r="N66" s="501"/>
      <c r="O66" s="501"/>
      <c r="P66" s="505">
        <f>IF((P65/(LEN(P6)-LEN(SUBSTITUTE(P6,"*","")))-0.5)&lt;0,"",P65/(LEN(P6)-LEN(SUBSTITUTE(P6,"*","")))-0.5)</f>
        <v>5.5</v>
      </c>
      <c r="Q66" s="505">
        <f>IF((Q65/(LEN(Q6)-LEN(SUBSTITUTE(Q6,"*","")))-0.5)&lt;0,"",Q65/(LEN(Q6)-LEN(SUBSTITUTE(Q6,"*","")))-0.5)</f>
        <v>10.5</v>
      </c>
      <c r="R66" s="505">
        <f>IF((R65/(LEN(R6)-LEN(SUBSTITUTE(R6,"*","")))-0.5)&lt;0,"",R65/(LEN(R6)-LEN(SUBSTITUTE(R6,"*","")))-0.5)</f>
        <v>7.8333333333333339</v>
      </c>
      <c r="S66" s="505">
        <f>IF((S65/(LEN(S6)-LEN(SUBSTITUTE(S6,"*","")))-0.5)&lt;0,"",S65/(LEN(S6)-LEN(SUBSTITUTE(S6,"*","")))-0.5)</f>
        <v>12</v>
      </c>
      <c r="T66" s="505"/>
      <c r="U66" s="505">
        <f>IF((U65/(LEN(U6)-LEN(SUBSTITUTE(U6,"*","")))-0.5)&lt;0,"",U65/(LEN(U6)-LEN(SUBSTITUTE(U6,"*","")))-0.5)</f>
        <v>17.5</v>
      </c>
      <c r="V66" s="505"/>
      <c r="W66" s="505">
        <f>IF((W65/(LEN(W6)-LEN(SUBSTITUTE(W6,"*","")))-0.5)&lt;0,"",W65/(LEN(W6)-LEN(SUBSTITUTE(W6,"*","")))-0.5)</f>
        <v>10.5</v>
      </c>
      <c r="X66" s="505">
        <f>IF((X65/(LEN(X6)-LEN(SUBSTITUTE(X6,"*","")))-0.5)&lt;0,"",X65/(LEN(X6)-LEN(SUBSTITUTE(X6,"*","")))-0.5)</f>
        <v>10.5</v>
      </c>
      <c r="Y66" s="505">
        <f>IF((Y65/(LEN(Y6)-LEN(SUBSTITUTE(Y6,"*","")))-0.5)&lt;0,"",Y65/(LEN(Y6)-LEN(SUBSTITUTE(Y6,"*","")))-0.5)</f>
        <v>5.833333333333333</v>
      </c>
      <c r="Z66" s="505"/>
      <c r="AA66" s="505"/>
      <c r="AB66" s="505"/>
      <c r="AC66" s="505"/>
      <c r="AD66" s="413"/>
      <c r="AE66" s="413"/>
      <c r="AF66" s="413"/>
      <c r="AG66" s="412"/>
      <c r="AH66" s="412"/>
      <c r="AI66" s="412"/>
      <c r="AJ66" s="412"/>
      <c r="AK66" s="412"/>
    </row>
    <row r="67" spans="1:37" x14ac:dyDescent="0.2">
      <c r="A67" s="412"/>
      <c r="B67" s="412"/>
      <c r="C67" s="420"/>
      <c r="D67" s="420"/>
      <c r="E67" s="412"/>
      <c r="F67" s="423"/>
      <c r="G67" s="412"/>
      <c r="H67" s="412"/>
      <c r="I67" s="493"/>
      <c r="J67" s="493"/>
      <c r="K67" s="493"/>
      <c r="L67" s="493"/>
      <c r="M67" s="493"/>
      <c r="N67" s="493"/>
      <c r="O67" s="493"/>
      <c r="P67" s="506"/>
      <c r="Q67" s="506"/>
      <c r="R67" s="506"/>
      <c r="T67" s="506"/>
      <c r="U67" s="506"/>
      <c r="V67" s="506"/>
      <c r="W67" s="506"/>
      <c r="X67" s="506"/>
      <c r="Y67" s="506"/>
      <c r="Z67" s="506"/>
      <c r="AA67" s="506"/>
      <c r="AB67" s="506"/>
      <c r="AC67" s="506"/>
      <c r="AD67" s="412"/>
      <c r="AE67" s="412"/>
      <c r="AF67" s="412"/>
      <c r="AG67" s="412"/>
      <c r="AH67" s="412"/>
      <c r="AI67" s="412"/>
      <c r="AJ67" s="412"/>
      <c r="AK67" s="412"/>
    </row>
    <row r="68" spans="1:37" x14ac:dyDescent="0.2">
      <c r="A68" s="412"/>
      <c r="B68" s="412"/>
      <c r="C68" s="420"/>
      <c r="D68" s="420"/>
      <c r="E68" s="412"/>
      <c r="F68" s="412"/>
      <c r="G68" s="412"/>
      <c r="H68" s="412"/>
      <c r="I68" s="493"/>
      <c r="J68" s="493"/>
      <c r="K68" s="493"/>
      <c r="L68" s="493"/>
      <c r="M68" s="493"/>
      <c r="N68" s="493"/>
      <c r="O68" s="493"/>
      <c r="P68" s="420"/>
      <c r="Q68" s="420"/>
      <c r="R68" s="420"/>
      <c r="T68" s="420"/>
      <c r="U68" s="507" t="s">
        <v>286</v>
      </c>
      <c r="V68" s="420"/>
      <c r="W68" s="420"/>
      <c r="X68" s="420"/>
      <c r="Y68" s="420"/>
      <c r="Z68" s="420"/>
      <c r="AA68" s="420"/>
      <c r="AB68" s="420"/>
      <c r="AC68" s="420"/>
      <c r="AD68" s="412"/>
      <c r="AE68" s="412"/>
      <c r="AF68" s="412"/>
      <c r="AG68" s="412"/>
      <c r="AH68" s="412"/>
      <c r="AI68" s="412"/>
      <c r="AJ68" s="412"/>
      <c r="AK68" s="412"/>
    </row>
    <row r="69" spans="1:37" x14ac:dyDescent="0.2">
      <c r="A69" s="412"/>
      <c r="B69" s="412"/>
      <c r="C69" s="420"/>
      <c r="D69" s="420"/>
      <c r="E69" s="412"/>
      <c r="F69" s="412"/>
      <c r="G69" s="412"/>
      <c r="H69" s="412"/>
      <c r="I69" s="493"/>
      <c r="J69" s="493"/>
      <c r="K69" s="493"/>
      <c r="L69" s="493"/>
      <c r="M69" s="493"/>
      <c r="N69" s="493"/>
      <c r="O69" s="493"/>
      <c r="P69" s="420"/>
      <c r="Q69" s="420"/>
      <c r="R69" s="420"/>
      <c r="T69" s="420"/>
      <c r="U69" s="488"/>
      <c r="V69" s="420"/>
      <c r="W69" s="420"/>
      <c r="X69" s="420"/>
      <c r="Y69" s="420"/>
      <c r="Z69" s="420"/>
      <c r="AA69" s="420"/>
      <c r="AB69" s="420"/>
      <c r="AC69" s="420"/>
      <c r="AD69" s="412"/>
      <c r="AE69" s="412"/>
      <c r="AF69" s="412"/>
      <c r="AG69" s="412"/>
      <c r="AH69" s="412"/>
      <c r="AI69" s="412"/>
      <c r="AJ69" s="412"/>
      <c r="AK69" s="412"/>
    </row>
    <row r="70" spans="1:37" x14ac:dyDescent="0.2">
      <c r="A70" s="420"/>
      <c r="B70" s="420"/>
      <c r="C70" s="412"/>
      <c r="D70" s="412"/>
      <c r="E70" s="412"/>
      <c r="F70" s="508" t="s">
        <v>287</v>
      </c>
      <c r="G70" s="412"/>
      <c r="H70" s="412"/>
      <c r="I70" s="420"/>
      <c r="J70" s="420"/>
      <c r="K70" s="420"/>
      <c r="L70" s="420"/>
      <c r="M70" s="420"/>
      <c r="N70" s="420"/>
      <c r="O70" s="420"/>
      <c r="P70" s="420"/>
      <c r="Q70" s="420"/>
      <c r="R70" s="420"/>
      <c r="T70" s="420"/>
      <c r="U70" s="420"/>
      <c r="V70" s="420"/>
      <c r="W70" s="420"/>
      <c r="X70" s="420"/>
      <c r="Y70" s="420"/>
      <c r="Z70" s="420"/>
      <c r="AA70" s="420"/>
      <c r="AB70" s="420"/>
      <c r="AC70" s="412"/>
      <c r="AD70" s="412"/>
      <c r="AE70" s="412"/>
      <c r="AF70" s="412"/>
      <c r="AG70" s="412"/>
      <c r="AH70" s="412"/>
      <c r="AI70" s="412"/>
      <c r="AJ70" s="412"/>
      <c r="AK70" s="412"/>
    </row>
    <row r="71" spans="1:37" x14ac:dyDescent="0.2">
      <c r="A71" s="420"/>
      <c r="B71" s="420"/>
      <c r="C71" s="412"/>
      <c r="D71" s="412"/>
      <c r="E71" s="412"/>
      <c r="F71" s="508" t="s">
        <v>288</v>
      </c>
      <c r="G71" s="412"/>
      <c r="H71" s="412"/>
      <c r="I71" s="420"/>
      <c r="J71" s="420"/>
      <c r="K71" s="420"/>
      <c r="L71" s="420"/>
      <c r="M71" s="420"/>
      <c r="N71" s="420"/>
      <c r="O71" s="420"/>
      <c r="P71" s="420"/>
      <c r="Q71" s="420"/>
      <c r="R71" s="420"/>
      <c r="T71" s="420"/>
      <c r="U71" s="420"/>
      <c r="V71" s="420"/>
      <c r="W71" s="420"/>
      <c r="X71" s="420"/>
      <c r="Y71" s="420"/>
      <c r="Z71" s="420"/>
      <c r="AA71" s="420"/>
      <c r="AB71" s="420"/>
      <c r="AC71" s="412"/>
      <c r="AD71" s="412"/>
      <c r="AE71" s="412"/>
      <c r="AF71" s="412"/>
      <c r="AG71" s="412"/>
      <c r="AH71" s="412"/>
      <c r="AI71" s="412"/>
      <c r="AJ71" s="412"/>
      <c r="AK71" s="412"/>
    </row>
    <row r="72" spans="1:37" x14ac:dyDescent="0.2">
      <c r="A72" s="420"/>
      <c r="B72" s="420"/>
      <c r="C72" s="412"/>
      <c r="D72" s="412"/>
      <c r="E72" s="412"/>
      <c r="F72" s="509" t="s">
        <v>289</v>
      </c>
      <c r="G72" s="412"/>
      <c r="H72" s="412"/>
      <c r="I72" s="420"/>
      <c r="J72" s="420"/>
      <c r="K72" s="420"/>
      <c r="L72" s="420"/>
      <c r="M72" s="420"/>
      <c r="N72" s="420"/>
      <c r="O72" s="420"/>
      <c r="P72" s="420"/>
      <c r="Q72" s="420"/>
      <c r="R72" s="420"/>
      <c r="T72" s="420"/>
      <c r="U72" s="420"/>
      <c r="V72" s="420"/>
      <c r="W72" s="420"/>
      <c r="X72" s="420"/>
      <c r="Y72" s="420"/>
      <c r="Z72" s="420"/>
      <c r="AA72" s="420"/>
      <c r="AB72" s="420"/>
      <c r="AC72" s="412"/>
      <c r="AD72" s="412"/>
      <c r="AE72" s="412"/>
      <c r="AF72" s="412"/>
      <c r="AG72" s="412"/>
      <c r="AH72" s="412"/>
      <c r="AI72" s="412"/>
      <c r="AJ72" s="412"/>
      <c r="AK72" s="412"/>
    </row>
    <row r="73" spans="1:37" x14ac:dyDescent="0.2">
      <c r="A73" s="420"/>
      <c r="B73" s="420"/>
      <c r="C73" s="412"/>
      <c r="D73" s="412"/>
      <c r="E73" s="412"/>
      <c r="F73" s="412"/>
      <c r="G73" s="412"/>
      <c r="H73" s="412"/>
      <c r="I73" s="420"/>
      <c r="J73" s="420"/>
      <c r="K73" s="420"/>
      <c r="L73" s="420"/>
      <c r="M73" s="420"/>
      <c r="N73" s="420"/>
      <c r="O73" s="420"/>
      <c r="P73" s="420"/>
      <c r="Q73" s="420"/>
      <c r="R73" s="420"/>
      <c r="T73" s="420"/>
      <c r="U73" s="420"/>
      <c r="V73" s="420"/>
      <c r="W73" s="420"/>
      <c r="X73" s="420"/>
      <c r="Y73" s="420"/>
      <c r="Z73" s="420"/>
      <c r="AA73" s="420"/>
      <c r="AB73" s="420"/>
      <c r="AC73" s="412"/>
      <c r="AD73" s="412"/>
      <c r="AE73" s="412"/>
      <c r="AF73" s="412"/>
      <c r="AG73" s="412"/>
      <c r="AH73" s="412"/>
      <c r="AI73" s="412"/>
      <c r="AJ73" s="412"/>
      <c r="AK73" s="412"/>
    </row>
    <row r="74" spans="1:37" x14ac:dyDescent="0.2">
      <c r="A74" s="420"/>
      <c r="B74" s="420"/>
      <c r="C74" s="412"/>
      <c r="D74" s="412"/>
      <c r="E74" s="412"/>
      <c r="F74" s="510" t="s">
        <v>290</v>
      </c>
      <c r="G74" s="412"/>
      <c r="H74" s="412"/>
      <c r="I74" s="420"/>
      <c r="J74" s="420"/>
      <c r="K74" s="420"/>
      <c r="L74" s="420"/>
      <c r="M74" s="420"/>
      <c r="N74" s="420"/>
      <c r="O74" s="420"/>
      <c r="P74" s="420"/>
      <c r="Q74" s="420"/>
      <c r="R74" s="420"/>
      <c r="T74" s="420"/>
      <c r="U74" s="420"/>
      <c r="V74" s="420"/>
      <c r="W74" s="420"/>
      <c r="X74" s="420"/>
      <c r="Y74" s="420"/>
      <c r="Z74" s="420"/>
      <c r="AA74" s="420"/>
      <c r="AB74" s="420"/>
      <c r="AC74" s="412"/>
      <c r="AD74" s="412"/>
      <c r="AE74" s="412"/>
      <c r="AF74" s="412"/>
      <c r="AG74" s="412"/>
      <c r="AH74" s="412"/>
      <c r="AI74" s="412"/>
      <c r="AJ74" s="412"/>
      <c r="AK74" s="412"/>
    </row>
    <row r="75" spans="1:37" x14ac:dyDescent="0.2">
      <c r="A75" s="412"/>
      <c r="B75" s="412"/>
      <c r="C75" s="420"/>
      <c r="D75" s="420"/>
      <c r="E75" s="412"/>
      <c r="F75" s="412" t="s">
        <v>230</v>
      </c>
      <c r="G75" s="412"/>
      <c r="H75" s="412"/>
      <c r="I75" s="412" t="s">
        <v>244</v>
      </c>
      <c r="J75" s="493"/>
      <c r="K75" s="493"/>
      <c r="L75" s="493"/>
      <c r="M75" s="493"/>
      <c r="N75" s="493"/>
      <c r="O75" s="493"/>
      <c r="P75" s="420"/>
      <c r="Q75" s="420"/>
      <c r="R75" s="420"/>
      <c r="U75" s="412" t="s">
        <v>238</v>
      </c>
      <c r="V75" s="420"/>
      <c r="W75" s="420"/>
      <c r="X75" s="420"/>
      <c r="Z75" s="420"/>
      <c r="AA75" s="412" t="s">
        <v>233</v>
      </c>
      <c r="AC75" s="420"/>
      <c r="AD75" s="412"/>
      <c r="AE75" s="412"/>
      <c r="AF75" s="412"/>
      <c r="AG75" s="412"/>
      <c r="AH75" s="412"/>
      <c r="AI75" s="412"/>
      <c r="AJ75" s="412"/>
    </row>
    <row r="76" spans="1:37" x14ac:dyDescent="0.2">
      <c r="A76" s="412"/>
      <c r="B76" s="412"/>
      <c r="C76" s="420"/>
      <c r="D76" s="420"/>
      <c r="E76" s="412"/>
      <c r="F76" s="412" t="s">
        <v>246</v>
      </c>
      <c r="G76" s="412"/>
      <c r="H76" s="412"/>
      <c r="I76" s="412" t="s">
        <v>278</v>
      </c>
      <c r="J76" s="493"/>
      <c r="K76" s="493"/>
      <c r="L76" s="493"/>
      <c r="M76" s="493"/>
      <c r="N76" s="493"/>
      <c r="O76" s="493"/>
      <c r="P76" s="420"/>
      <c r="Q76" s="420"/>
      <c r="R76" s="420"/>
      <c r="U76" s="412" t="s">
        <v>252</v>
      </c>
      <c r="V76" s="420"/>
      <c r="W76" s="420"/>
      <c r="X76" s="420"/>
      <c r="Z76" s="420"/>
      <c r="AA76" s="412" t="s">
        <v>247</v>
      </c>
      <c r="AC76" s="420"/>
      <c r="AD76" s="412"/>
      <c r="AE76" s="412"/>
      <c r="AF76" s="412"/>
      <c r="AG76" s="412"/>
      <c r="AH76" s="412"/>
      <c r="AI76" s="412"/>
      <c r="AJ76" s="412"/>
    </row>
    <row r="77" spans="1:37" x14ac:dyDescent="0.2">
      <c r="A77" s="412"/>
      <c r="B77" s="412"/>
      <c r="C77" s="420"/>
      <c r="D77" s="420"/>
      <c r="E77" s="412"/>
      <c r="F77" s="412" t="s">
        <v>232</v>
      </c>
      <c r="G77" s="412"/>
      <c r="H77" s="412"/>
      <c r="I77" s="412" t="s">
        <v>20</v>
      </c>
      <c r="J77" s="493"/>
      <c r="K77" s="493"/>
      <c r="L77" s="493"/>
      <c r="M77" s="493"/>
      <c r="N77" s="493"/>
      <c r="O77" s="493"/>
      <c r="P77" s="420"/>
      <c r="Q77" s="420"/>
      <c r="R77" s="420"/>
      <c r="U77" s="412" t="s">
        <v>253</v>
      </c>
      <c r="V77" s="420"/>
      <c r="W77" s="420"/>
      <c r="X77" s="420"/>
      <c r="Z77" s="420"/>
      <c r="AA77" s="412" t="s">
        <v>235</v>
      </c>
      <c r="AC77" s="420"/>
      <c r="AD77" s="412"/>
      <c r="AE77" s="412"/>
      <c r="AF77" s="412"/>
      <c r="AG77" s="412"/>
      <c r="AH77" s="412"/>
      <c r="AI77" s="412"/>
      <c r="AJ77" s="412"/>
    </row>
    <row r="78" spans="1:37" x14ac:dyDescent="0.2">
      <c r="A78" s="412"/>
      <c r="B78" s="412"/>
      <c r="C78" s="420"/>
      <c r="D78" s="420"/>
      <c r="E78" s="412"/>
      <c r="F78" s="412" t="s">
        <v>227</v>
      </c>
      <c r="G78" s="412"/>
      <c r="H78" s="412"/>
      <c r="I78" s="412" t="s">
        <v>221</v>
      </c>
      <c r="J78" s="493"/>
      <c r="K78" s="493"/>
      <c r="L78" s="493"/>
      <c r="M78" s="493"/>
      <c r="N78" s="493"/>
      <c r="O78" s="493"/>
      <c r="P78" s="420"/>
      <c r="Q78" s="420"/>
      <c r="R78" s="420"/>
      <c r="U78" s="412" t="s">
        <v>228</v>
      </c>
      <c r="V78" s="420"/>
      <c r="W78" s="420"/>
      <c r="X78" s="420"/>
      <c r="Z78" s="420"/>
      <c r="AA78" s="412" t="s">
        <v>226</v>
      </c>
      <c r="AC78" s="420"/>
      <c r="AD78" s="412"/>
      <c r="AE78" s="412"/>
      <c r="AF78" s="412"/>
      <c r="AG78" s="412"/>
      <c r="AH78" s="412"/>
      <c r="AI78" s="412"/>
      <c r="AJ78" s="412"/>
    </row>
    <row r="79" spans="1:37" x14ac:dyDescent="0.2">
      <c r="A79" s="412"/>
      <c r="B79" s="412"/>
      <c r="C79" s="420"/>
      <c r="D79" s="420"/>
      <c r="E79" s="412"/>
      <c r="F79" s="412" t="s">
        <v>236</v>
      </c>
      <c r="G79" s="412"/>
      <c r="H79" s="412"/>
      <c r="I79" s="412" t="s">
        <v>229</v>
      </c>
      <c r="J79" s="493"/>
      <c r="K79" s="493"/>
      <c r="L79" s="493"/>
      <c r="M79" s="493"/>
      <c r="N79" s="493"/>
      <c r="O79" s="493"/>
      <c r="P79" s="420"/>
      <c r="Q79" s="420"/>
      <c r="R79" s="420"/>
      <c r="U79" s="412" t="s">
        <v>222</v>
      </c>
      <c r="V79" s="420"/>
      <c r="W79" s="420"/>
      <c r="X79" s="420"/>
      <c r="Z79" s="420"/>
      <c r="AA79" s="412" t="s">
        <v>260</v>
      </c>
      <c r="AC79" s="420"/>
      <c r="AD79" s="412"/>
      <c r="AE79" s="412"/>
      <c r="AF79" s="412"/>
      <c r="AG79" s="412"/>
      <c r="AH79" s="412"/>
      <c r="AI79" s="412"/>
      <c r="AJ79" s="412"/>
    </row>
    <row r="80" spans="1:37" x14ac:dyDescent="0.2">
      <c r="A80" s="412"/>
      <c r="B80" s="412"/>
      <c r="C80" s="420"/>
      <c r="D80" s="420"/>
      <c r="E80" s="412"/>
      <c r="F80" s="412" t="s">
        <v>231</v>
      </c>
      <c r="G80" s="412"/>
      <c r="H80" s="412"/>
      <c r="I80" s="412" t="s">
        <v>15</v>
      </c>
      <c r="J80" s="493"/>
      <c r="K80" s="493"/>
      <c r="L80" s="493"/>
      <c r="M80" s="493"/>
      <c r="N80" s="493"/>
      <c r="O80" s="493"/>
      <c r="P80" s="420"/>
      <c r="Q80" s="420"/>
      <c r="R80" s="420"/>
      <c r="U80" s="412" t="s">
        <v>223</v>
      </c>
      <c r="V80" s="420"/>
      <c r="W80" s="420"/>
      <c r="X80" s="420"/>
      <c r="Z80" s="420"/>
      <c r="AA80" t="s">
        <v>270</v>
      </c>
      <c r="AC80" s="420"/>
      <c r="AD80" s="412"/>
      <c r="AE80" s="412"/>
      <c r="AF80" s="412"/>
      <c r="AG80" s="412"/>
      <c r="AH80" s="412"/>
      <c r="AI80" s="412"/>
      <c r="AJ80" s="412"/>
    </row>
    <row r="81" spans="1:36" x14ac:dyDescent="0.2">
      <c r="A81" s="412"/>
      <c r="B81" s="412"/>
      <c r="C81" s="420"/>
      <c r="D81" s="420"/>
      <c r="E81" s="412"/>
      <c r="F81" s="412" t="s">
        <v>277</v>
      </c>
      <c r="G81" s="412"/>
      <c r="H81" s="412"/>
      <c r="I81" s="412" t="s">
        <v>243</v>
      </c>
      <c r="J81" s="493"/>
      <c r="K81" s="493"/>
      <c r="L81" s="493"/>
      <c r="M81" s="493"/>
      <c r="N81" s="493"/>
      <c r="O81" s="493"/>
      <c r="P81" s="420"/>
      <c r="Q81" s="420"/>
      <c r="R81" s="420"/>
      <c r="U81" s="412" t="s">
        <v>220</v>
      </c>
      <c r="V81" s="420"/>
      <c r="W81" s="420"/>
      <c r="X81" s="420"/>
      <c r="Z81" s="420"/>
      <c r="AA81" t="s">
        <v>254</v>
      </c>
      <c r="AC81" s="420"/>
      <c r="AD81" s="412"/>
      <c r="AE81" s="412"/>
      <c r="AF81" s="412"/>
      <c r="AG81" s="412"/>
      <c r="AH81" s="412"/>
      <c r="AI81" s="412"/>
      <c r="AJ81" s="412"/>
    </row>
    <row r="82" spans="1:36" x14ac:dyDescent="0.2">
      <c r="A82" s="412"/>
      <c r="B82" s="412"/>
      <c r="C82" s="420"/>
      <c r="D82" s="420"/>
      <c r="E82" s="412"/>
      <c r="F82" s="412" t="s">
        <v>224</v>
      </c>
      <c r="G82" s="412"/>
      <c r="H82" s="412"/>
      <c r="I82" s="412" t="s">
        <v>245</v>
      </c>
      <c r="J82" s="493"/>
      <c r="K82" s="493"/>
      <c r="L82" s="493"/>
      <c r="M82" s="493"/>
      <c r="N82" s="493"/>
      <c r="O82" s="493"/>
      <c r="P82" s="420"/>
      <c r="Q82" s="420"/>
      <c r="R82" s="420"/>
      <c r="U82" s="412" t="s">
        <v>249</v>
      </c>
      <c r="V82" s="420"/>
      <c r="W82" s="420"/>
      <c r="X82" s="420"/>
      <c r="Z82" s="420"/>
      <c r="AA82" t="s">
        <v>237</v>
      </c>
      <c r="AC82" s="420"/>
      <c r="AD82" s="412"/>
      <c r="AE82" s="412"/>
      <c r="AF82" s="412"/>
      <c r="AG82" s="412"/>
      <c r="AH82" s="412"/>
      <c r="AI82" s="412"/>
      <c r="AJ82" s="412"/>
    </row>
    <row r="83" spans="1:36" x14ac:dyDescent="0.2">
      <c r="A83" s="412"/>
      <c r="B83" s="412"/>
      <c r="C83" s="420"/>
      <c r="D83" s="420"/>
      <c r="E83" s="412"/>
      <c r="F83" s="412" t="s">
        <v>267</v>
      </c>
      <c r="G83" s="412"/>
      <c r="H83" s="412"/>
      <c r="I83" s="412" t="s">
        <v>225</v>
      </c>
      <c r="J83" s="493"/>
      <c r="K83" s="493"/>
      <c r="L83" s="493"/>
      <c r="M83" s="493"/>
      <c r="N83" s="493"/>
      <c r="O83" s="493"/>
      <c r="P83" s="420"/>
      <c r="Q83" s="420"/>
      <c r="R83" s="420"/>
      <c r="U83" s="412" t="s">
        <v>268</v>
      </c>
      <c r="V83" s="420"/>
      <c r="W83" s="420"/>
      <c r="X83" s="420"/>
      <c r="Z83" s="420"/>
      <c r="AA83" t="s">
        <v>266</v>
      </c>
      <c r="AC83" s="420"/>
      <c r="AD83" s="412"/>
      <c r="AE83" s="412"/>
      <c r="AF83" s="412"/>
      <c r="AG83" s="412"/>
      <c r="AH83" s="412"/>
      <c r="AI83" s="412"/>
      <c r="AJ83" s="412"/>
    </row>
    <row r="84" spans="1:36" x14ac:dyDescent="0.2">
      <c r="A84" s="412"/>
      <c r="B84" s="412"/>
      <c r="C84" s="420"/>
      <c r="D84" s="420"/>
      <c r="E84" s="412"/>
      <c r="F84" s="412"/>
      <c r="G84" s="412"/>
      <c r="H84" s="412"/>
      <c r="I84" s="493"/>
      <c r="J84" s="493"/>
      <c r="K84" s="493"/>
      <c r="L84" s="493"/>
      <c r="M84" s="493"/>
      <c r="N84" s="493"/>
      <c r="O84" s="493"/>
      <c r="P84" s="420"/>
      <c r="Q84" s="420"/>
      <c r="R84" s="420"/>
      <c r="S84" s="412"/>
      <c r="T84" s="420"/>
      <c r="U84" s="420"/>
      <c r="V84" s="420"/>
      <c r="W84" s="420"/>
      <c r="X84" s="420"/>
      <c r="Y84" s="420"/>
      <c r="Z84" s="420"/>
      <c r="AA84" s="420"/>
      <c r="AB84" s="420"/>
      <c r="AC84" s="420"/>
      <c r="AD84" s="412"/>
      <c r="AE84" s="412"/>
      <c r="AF84" s="412"/>
      <c r="AG84" s="412"/>
      <c r="AH84" s="412"/>
      <c r="AI84" s="412"/>
      <c r="AJ84" s="412"/>
    </row>
  </sheetData>
  <autoFilter ref="AD7:AF7"/>
  <mergeCells count="3">
    <mergeCell ref="AD5:AD6"/>
    <mergeCell ref="AE5:AE6"/>
    <mergeCell ref="AF5:AF6"/>
  </mergeCells>
  <conditionalFormatting sqref="P65:AC65">
    <cfRule type="top10" dxfId="1550" priority="6" stopIfTrue="1" rank="1"/>
  </conditionalFormatting>
  <conditionalFormatting sqref="AE8:AE64">
    <cfRule type="top10" dxfId="1549" priority="494" stopIfTrue="1" rank="1"/>
  </conditionalFormatting>
  <conditionalFormatting sqref="AF8:AF64">
    <cfRule type="top10" dxfId="1548" priority="495" stopIfTrue="1" rank="1"/>
  </conditionalFormatting>
  <conditionalFormatting sqref="AD8:AD64">
    <cfRule type="top10" dxfId="1547" priority="496" stopIfTrue="1" rank="1"/>
  </conditionalFormatting>
  <conditionalFormatting sqref="E8:E64">
    <cfRule type="expression" dxfId="1546" priority="497">
      <formula>I8=0</formula>
    </cfRule>
    <cfRule type="duplicateValues" dxfId="1545" priority="498" stopIfTrue="1"/>
  </conditionalFormatting>
  <conditionalFormatting sqref="I8:I64">
    <cfRule type="duplicateValues" dxfId="1544" priority="499" stopIfTrue="1"/>
  </conditionalFormatting>
  <conditionalFormatting sqref="P8:R64 T8:T64 V8:AC64">
    <cfRule type="expression" dxfId="1543" priority="500" stopIfTrue="1">
      <formula>COUNTIF(P$8:P$70,"&gt;0")=0</formula>
    </cfRule>
    <cfRule type="expression" dxfId="1542" priority="501">
      <formula>IF(P8="  ",FALSE,P8)+P$7/10000=$AJ8</formula>
    </cfRule>
    <cfRule type="expression" dxfId="1541" priority="502">
      <formula>IF(P8="  ",FALSE,P8)+P$7/10000=$AI8</formula>
    </cfRule>
    <cfRule type="expression" dxfId="1540" priority="503">
      <formula>IF(P8="  ",FALSE,P8)+P$7/10000=$AH8</formula>
    </cfRule>
    <cfRule type="expression" dxfId="1539" priority="504">
      <formula>IF(P8="  ",FALSE,P8)+P$7/10000=$AG8</formula>
    </cfRule>
    <cfRule type="cellIs" dxfId="1538" priority="505" operator="equal">
      <formula>30</formula>
    </cfRule>
    <cfRule type="cellIs" dxfId="1537" priority="506" operator="equal">
      <formula>34</formula>
    </cfRule>
    <cfRule type="cellIs" dxfId="1536" priority="507" operator="equal">
      <formula>40</formula>
    </cfRule>
  </conditionalFormatting>
  <conditionalFormatting sqref="A8:A64">
    <cfRule type="expression" dxfId="1535" priority="716">
      <formula>AND(A8=SMALL(A$8:A$64,1),COUNT($AC$8:$AC$64)&gt;0)</formula>
    </cfRule>
    <cfRule type="expression" dxfId="1534" priority="717">
      <formula>I8=0</formula>
    </cfRule>
    <cfRule type="duplicateValues" dxfId="1533" priority="718"/>
  </conditionalFormatting>
  <conditionalFormatting sqref="C8:C64">
    <cfRule type="expression" dxfId="1532" priority="725">
      <formula>AND(C8=SMALL(C$8:C$64,1),COUNT($AC$8:$AC$64)&gt;0)</formula>
    </cfRule>
    <cfRule type="expression" dxfId="1531" priority="726">
      <formula>I8=0</formula>
    </cfRule>
    <cfRule type="duplicateValues" dxfId="1530" priority="727"/>
  </conditionalFormatting>
  <conditionalFormatting sqref="S8:S64 U8:U64">
    <cfRule type="expression" dxfId="1529" priority="734" stopIfTrue="1">
      <formula>COUNTIF(S$8:S$66,"&gt;0")=0</formula>
    </cfRule>
    <cfRule type="expression" dxfId="1528" priority="735">
      <formula>IF(S8="  ",FALSE,S8)+S$7/10000=$AJ8</formula>
    </cfRule>
    <cfRule type="expression" dxfId="1527" priority="736">
      <formula>IF(S8="  ",FALSE,S8)+S$7/10000=$AI8</formula>
    </cfRule>
    <cfRule type="expression" dxfId="1526" priority="737">
      <formula>IF(S8="  ",FALSE,S8)+S$7/10000=$AH8</formula>
    </cfRule>
    <cfRule type="expression" dxfId="1525" priority="738">
      <formula>IF(S8="  ",FALSE,S8)+S$7/10000=$AG8</formula>
    </cfRule>
    <cfRule type="cellIs" dxfId="1524" priority="739" operator="equal">
      <formula>30</formula>
    </cfRule>
    <cfRule type="cellIs" dxfId="1523" priority="740" operator="equal">
      <formula>34</formula>
    </cfRule>
    <cfRule type="cellIs" dxfId="1522" priority="741" operator="equal">
      <formula>40</formula>
    </cfRule>
  </conditionalFormatting>
  <conditionalFormatting sqref="F8:F57 F59:F64">
    <cfRule type="expression" dxfId="1521" priority="878">
      <formula>IF(COUNTIF($F$75:$AA$83,"="&amp;F8),FALSE,TRUE)</formula>
    </cfRule>
    <cfRule type="expression" dxfId="1520" priority="879">
      <formula>H8="j"</formula>
    </cfRule>
    <cfRule type="expression" dxfId="1519" priority="880">
      <formula>G8="n"</formula>
    </cfRule>
    <cfRule type="duplicateValues" dxfId="1518" priority="881" stopIfTrue="1"/>
  </conditionalFormatting>
  <conditionalFormatting sqref="F8:F64">
    <cfRule type="expression" dxfId="1517" priority="886">
      <formula>AND(I8=LARGE(I$8:I$64,3),COUNT($AC$8:$AC$64)&gt;0)</formula>
    </cfRule>
    <cfRule type="expression" dxfId="1516" priority="887">
      <formula>AND(I8=LARGE(I$8:I$64,2),COUNT($AC$8:$AC$64)&gt;0)</formula>
    </cfRule>
    <cfRule type="expression" dxfId="1515" priority="888">
      <formula>AND(I8=LARGE(I$8:I$64,1),COUNT($AC$8:$AC$64)&gt;0)</formula>
    </cfRule>
  </conditionalFormatting>
  <pageMargins left="0.51181102362204722" right="0.27559055118110237" top="0.78740157480314965" bottom="0.39370078740157483" header="0.59055118110236227" footer="0"/>
  <pageSetup paperSize="9" fitToHeight="0" orientation="portrait" r:id="rId1"/>
  <headerFooter>
    <oddHeader>&amp;R&amp;9Page &amp;P of &amp;N</oddHead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AM311"/>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37.14062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20.85546875" hidden="1" customWidth="1"/>
    <col min="33" max="33" width="9.140625" hidden="1" customWidth="1"/>
    <col min="34" max="34" width="18.7109375" hidden="1" customWidth="1"/>
    <col min="35" max="35" width="9.140625" hidden="1" customWidth="1"/>
    <col min="36" max="36" width="17.28515625" hidden="1" customWidth="1"/>
    <col min="37" max="37" width="9.140625" hidden="1" customWidth="1"/>
    <col min="38" max="38" width="13.85546875" hidden="1" customWidth="1"/>
  </cols>
  <sheetData>
    <row r="1" spans="1:39" x14ac:dyDescent="0.2">
      <c r="A1" s="742" t="str">
        <f>UPPER((Kalend!E42)&amp;" - "&amp;(Kalend!C42)&amp;" - "&amp;(Kalend!D42))</f>
        <v>V10 - VOKA 6. KV 10. ETAPP - DUO</v>
      </c>
      <c r="B1" s="652"/>
      <c r="C1" s="653"/>
      <c r="D1" s="652"/>
      <c r="E1" s="652"/>
      <c r="F1" s="410" t="str">
        <f>HYPERLINK("#Kalend!I1","Kalender")</f>
        <v>Kalender</v>
      </c>
      <c r="G1" s="410"/>
      <c r="H1" s="410"/>
      <c r="I1" s="410"/>
      <c r="J1" s="654" t="str">
        <f>HYPERLINK("#V!AB1","Reiting")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tr">
        <f>"Toimumisaeg: "&amp;(Kalend!A42)&amp;" kell "&amp;(Kalend!B42)</f>
        <v>Toimumisaeg: K, 18.09.2019 kell 18:00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2"/>
      <c r="AE2" s="652"/>
      <c r="AF2" s="652"/>
      <c r="AG2" s="652"/>
      <c r="AH2" s="652"/>
      <c r="AI2" s="652"/>
      <c r="AJ2" s="652"/>
      <c r="AK2" s="652"/>
      <c r="AL2" s="652"/>
      <c r="AM2" s="652"/>
    </row>
    <row r="3" spans="1:39" x14ac:dyDescent="0.2">
      <c r="A3" s="659" t="str">
        <f>"Toimumiskoht: "&amp;(Kalend!F42)</f>
        <v>Toimumiskoht: Voka petangihall</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tr">
        <f>"Korraldaja: "&amp;(Kalend!G42)</f>
        <v>Korraldaja: Johannes Neiland</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x14ac:dyDescent="0.2">
      <c r="A8" s="685">
        <v>1</v>
      </c>
      <c r="B8" s="686" t="s">
        <v>432</v>
      </c>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708">
        <f t="shared" ref="AD8" si="0">SUM(AE8:AL8)</f>
        <v>114</v>
      </c>
      <c r="AE8" s="709">
        <f>IFERROR(INDEX(V!R$7:R$62,MATCH(AF8,V!L$7:L$62,0)),"")</f>
        <v>48</v>
      </c>
      <c r="AF8" s="710" t="str">
        <f t="shared" ref="AF8:AF19" si="1">IFERROR(LEFT(B8,(FIND(",",B8,1)-1)),"")</f>
        <v>Aigi Orro</v>
      </c>
      <c r="AG8" s="709">
        <f>IFERROR(INDEX(V!R$7:R$62,MATCH(AH8,V!L$7:L$62,0)),"")</f>
        <v>66</v>
      </c>
      <c r="AH8" s="710" t="str">
        <f t="shared" ref="AH8:AH19" si="2">IFERROR(MID(B8,FIND(", ",B8)+2,256),"")</f>
        <v>Jaan Sepp</v>
      </c>
      <c r="AI8" s="709" t="str">
        <f>IFERROR(INDEX(V!R$7:R$62,MATCH(AJ8,V!L$7:L$62,0)),"")</f>
        <v/>
      </c>
      <c r="AJ8" s="710" t="str">
        <f t="shared" ref="AJ8:AJ19" si="3">IFERROR(MID(B8,FIND("^",SUBSTITUTE(B8,", ","^",1))+2,FIND("^",SUBSTITUTE(B8,", ","^",2))-FIND("^",SUBSTITUTE(B8,", ","^",1))-2),"")</f>
        <v/>
      </c>
      <c r="AK8" s="709" t="str">
        <f>IFERROR(INDEX(V!R$7:R$62,MATCH(AL8,V!L$7:L$62,0)),"")</f>
        <v/>
      </c>
      <c r="AL8" s="710" t="str">
        <f t="shared" ref="AL8:AL19" si="4">IFERROR(MID(B8,FIND(", ",B8,FIND(", ",B8,FIND(", ",B8))+1)+2,700),"")</f>
        <v/>
      </c>
      <c r="AM8" s="652"/>
    </row>
    <row r="9" spans="1:39" x14ac:dyDescent="0.2">
      <c r="A9" s="685">
        <v>2</v>
      </c>
      <c r="B9" s="686" t="s">
        <v>381</v>
      </c>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19" si="5">IF(C9&gt;E9,J$3,IF(C9&lt;E9,J$5,IF(ISNUMBER(C9),J$4,0)))+IF(G9&gt;I9,J$3,IF(G9&lt;I9,J$5,IF(ISNUMBER(G9),J$4,0)))+IF(K9&gt;M9,J$3,IF(K9&lt;M9,J$5,IF(ISNUMBER(K9),J$4,0)))+IF(O9&gt;Q9,J$3,IF(O9&lt;Q9,J$5,IF(ISNUMBER(O9),J$4,0)))+IF(S9&gt;U9,J$3,IF(S9&lt;U9,J$5,IF(ISNUMBER(S9),J$4,0)))</f>
        <v>0</v>
      </c>
      <c r="X9" s="692"/>
      <c r="Y9" s="687">
        <f t="shared" ref="Y9:Y19" si="6">C9+G9+K9+O9+S9</f>
        <v>0</v>
      </c>
      <c r="Z9" s="688" t="s">
        <v>377</v>
      </c>
      <c r="AA9" s="693">
        <f t="shared" ref="AA9:AA19" si="7">E9+I9+M9+Q9+U9</f>
        <v>0</v>
      </c>
      <c r="AB9" s="694">
        <f t="shared" ref="AB9:AB19" si="8">Y9-AA9</f>
        <v>0</v>
      </c>
      <c r="AC9" s="695"/>
      <c r="AD9" s="708">
        <f t="shared" ref="AD9:AD19" si="9">SUM(AE9:AL9)</f>
        <v>136</v>
      </c>
      <c r="AE9" s="709">
        <f>IFERROR(INDEX(V!R$7:R$62,MATCH(AF9,V!L$7:L$62,0)),"")</f>
        <v>75</v>
      </c>
      <c r="AF9" s="710" t="str">
        <f t="shared" si="1"/>
        <v>Tõnu Kapper</v>
      </c>
      <c r="AG9" s="709">
        <f>IFERROR(INDEX(V!R$7:R$62,MATCH(AH9,V!L$7:L$62,0)),"")</f>
        <v>61</v>
      </c>
      <c r="AH9" s="710" t="str">
        <f t="shared" si="2"/>
        <v>Vladimir Ogneštšikov</v>
      </c>
      <c r="AI9" s="709" t="str">
        <f>IFERROR(INDEX(V!R$7:R$62,MATCH(AJ9,V!L$7:L$62,0)),"")</f>
        <v/>
      </c>
      <c r="AJ9" s="710" t="str">
        <f t="shared" si="3"/>
        <v/>
      </c>
      <c r="AK9" s="709" t="str">
        <f>IFERROR(INDEX(V!R$7:R$62,MATCH(AL9,V!L$7:L$62,0)),"")</f>
        <v/>
      </c>
      <c r="AL9" s="710" t="str">
        <f t="shared" si="4"/>
        <v/>
      </c>
      <c r="AM9" s="652"/>
    </row>
    <row r="10" spans="1:39" x14ac:dyDescent="0.2">
      <c r="A10" s="685">
        <v>3</v>
      </c>
      <c r="B10" s="686" t="s">
        <v>391</v>
      </c>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5"/>
        <v>0</v>
      </c>
      <c r="X10" s="692"/>
      <c r="Y10" s="687">
        <f t="shared" si="6"/>
        <v>0</v>
      </c>
      <c r="Z10" s="688" t="s">
        <v>377</v>
      </c>
      <c r="AA10" s="693">
        <f t="shared" si="7"/>
        <v>0</v>
      </c>
      <c r="AB10" s="694">
        <f t="shared" si="8"/>
        <v>0</v>
      </c>
      <c r="AC10" s="695"/>
      <c r="AD10" s="708">
        <f t="shared" si="9"/>
        <v>334</v>
      </c>
      <c r="AE10" s="709">
        <f>IFERROR(INDEX(V!R$7:R$62,MATCH(AF10,V!L$7:L$62,0)),"")</f>
        <v>165</v>
      </c>
      <c r="AF10" s="710" t="str">
        <f t="shared" si="1"/>
        <v>Oksana Rõndenkova</v>
      </c>
      <c r="AG10" s="709">
        <f>IFERROR(INDEX(V!R$7:R$62,MATCH(AH10,V!L$7:L$62,0)),"")</f>
        <v>169</v>
      </c>
      <c r="AH10" s="710" t="str">
        <f t="shared" si="2"/>
        <v>Oleg Rõndenkov</v>
      </c>
      <c r="AI10" s="709" t="str">
        <f>IFERROR(INDEX(V!R$7:R$62,MATCH(AJ10,V!L$7:L$62,0)),"")</f>
        <v/>
      </c>
      <c r="AJ10" s="710" t="str">
        <f t="shared" si="3"/>
        <v/>
      </c>
      <c r="AK10" s="709" t="str">
        <f>IFERROR(INDEX(V!R$7:R$62,MATCH(AL10,V!L$7:L$62,0)),"")</f>
        <v/>
      </c>
      <c r="AL10" s="710" t="str">
        <f t="shared" si="4"/>
        <v/>
      </c>
      <c r="AM10" s="652"/>
    </row>
    <row r="11" spans="1:39" x14ac:dyDescent="0.2">
      <c r="A11" s="685">
        <v>4</v>
      </c>
      <c r="B11" s="686" t="s">
        <v>433</v>
      </c>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5"/>
        <v>0</v>
      </c>
      <c r="X11" s="692"/>
      <c r="Y11" s="687">
        <f t="shared" si="6"/>
        <v>0</v>
      </c>
      <c r="Z11" s="688" t="s">
        <v>377</v>
      </c>
      <c r="AA11" s="693">
        <f t="shared" si="7"/>
        <v>0</v>
      </c>
      <c r="AB11" s="694">
        <f t="shared" si="8"/>
        <v>0</v>
      </c>
      <c r="AC11" s="695"/>
      <c r="AD11" s="708">
        <f t="shared" si="9"/>
        <v>166</v>
      </c>
      <c r="AE11" s="709">
        <f>IFERROR(INDEX(V!R$7:R$62,MATCH(AF11,V!L$7:L$62,0)),"")</f>
        <v>135</v>
      </c>
      <c r="AF11" s="710" t="str">
        <f t="shared" si="1"/>
        <v>Kenneth Muusikus</v>
      </c>
      <c r="AG11" s="709">
        <f>IFERROR(INDEX(V!R$7:R$62,MATCH(AH11,V!L$7:L$62,0)),"")</f>
        <v>31</v>
      </c>
      <c r="AH11" s="710" t="str">
        <f t="shared" si="2"/>
        <v>Peep peenema</v>
      </c>
      <c r="AI11" s="709" t="str">
        <f>IFERROR(INDEX(V!R$7:R$62,MATCH(AJ11,V!L$7:L$62,0)),"")</f>
        <v/>
      </c>
      <c r="AJ11" s="710" t="str">
        <f t="shared" si="3"/>
        <v/>
      </c>
      <c r="AK11" s="709" t="str">
        <f>IFERROR(INDEX(V!R$7:R$62,MATCH(AL11,V!L$7:L$62,0)),"")</f>
        <v/>
      </c>
      <c r="AL11" s="710" t="str">
        <f t="shared" si="4"/>
        <v/>
      </c>
      <c r="AM11" s="652"/>
    </row>
    <row r="12" spans="1:39" x14ac:dyDescent="0.2">
      <c r="A12" s="685">
        <v>5</v>
      </c>
      <c r="B12" s="686" t="s">
        <v>392</v>
      </c>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5"/>
        <v>0</v>
      </c>
      <c r="X12" s="692"/>
      <c r="Y12" s="687">
        <f t="shared" si="6"/>
        <v>0</v>
      </c>
      <c r="Z12" s="688" t="s">
        <v>377</v>
      </c>
      <c r="AA12" s="693">
        <f t="shared" si="7"/>
        <v>0</v>
      </c>
      <c r="AB12" s="694">
        <f t="shared" si="8"/>
        <v>0</v>
      </c>
      <c r="AC12" s="695"/>
      <c r="AD12" s="708">
        <f t="shared" si="9"/>
        <v>96</v>
      </c>
      <c r="AE12" s="709">
        <f>IFERROR(INDEX(V!R$7:R$62,MATCH(AF12,V!L$7:L$62,0)),"")</f>
        <v>48</v>
      </c>
      <c r="AF12" s="710" t="str">
        <f t="shared" si="1"/>
        <v>Aarne Välja</v>
      </c>
      <c r="AG12" s="709">
        <f>IFERROR(INDEX(V!R$7:R$62,MATCH(AH12,V!L$7:L$62,0)),"")</f>
        <v>48</v>
      </c>
      <c r="AH12" s="710" t="str">
        <f t="shared" si="2"/>
        <v>Janek Tarto</v>
      </c>
      <c r="AI12" s="709" t="str">
        <f>IFERROR(INDEX(V!R$7:R$62,MATCH(AJ12,V!L$7:L$62,0)),"")</f>
        <v/>
      </c>
      <c r="AJ12" s="710" t="str">
        <f t="shared" si="3"/>
        <v/>
      </c>
      <c r="AK12" s="709" t="str">
        <f>IFERROR(INDEX(V!R$7:R$62,MATCH(AL12,V!L$7:L$62,0)),"")</f>
        <v/>
      </c>
      <c r="AL12" s="710" t="str">
        <f t="shared" si="4"/>
        <v/>
      </c>
      <c r="AM12" s="652"/>
    </row>
    <row r="13" spans="1:39" x14ac:dyDescent="0.2">
      <c r="A13" s="685">
        <v>6</v>
      </c>
      <c r="B13" s="686" t="s">
        <v>434</v>
      </c>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5"/>
        <v>0</v>
      </c>
      <c r="X13" s="692"/>
      <c r="Y13" s="687">
        <f t="shared" si="6"/>
        <v>0</v>
      </c>
      <c r="Z13" s="688" t="s">
        <v>377</v>
      </c>
      <c r="AA13" s="693">
        <f t="shared" si="7"/>
        <v>0</v>
      </c>
      <c r="AB13" s="694">
        <f t="shared" si="8"/>
        <v>0</v>
      </c>
      <c r="AC13" s="695"/>
      <c r="AD13" s="708">
        <f t="shared" si="9"/>
        <v>187</v>
      </c>
      <c r="AE13" s="709">
        <f>IFERROR(INDEX(V!R$7:R$62,MATCH(AF13,V!L$7:L$62,0)),"")</f>
        <v>106</v>
      </c>
      <c r="AF13" s="710" t="str">
        <f t="shared" si="1"/>
        <v>Henri Mitt</v>
      </c>
      <c r="AG13" s="709">
        <f>IFERROR(INDEX(V!R$7:R$62,MATCH(AH13,V!L$7:L$62,0)),"")</f>
        <v>81</v>
      </c>
      <c r="AH13" s="710" t="str">
        <f t="shared" si="2"/>
        <v>Illar Tõnurist</v>
      </c>
      <c r="AI13" s="709" t="str">
        <f>IFERROR(INDEX(V!R$7:R$62,MATCH(AJ13,V!L$7:L$62,0)),"")</f>
        <v/>
      </c>
      <c r="AJ13" s="710" t="str">
        <f t="shared" si="3"/>
        <v/>
      </c>
      <c r="AK13" s="709" t="str">
        <f>IFERROR(INDEX(V!R$7:R$62,MATCH(AL13,V!L$7:L$62,0)),"")</f>
        <v/>
      </c>
      <c r="AL13" s="710" t="str">
        <f t="shared" si="4"/>
        <v/>
      </c>
      <c r="AM13" s="652"/>
    </row>
    <row r="14" spans="1:39" x14ac:dyDescent="0.2">
      <c r="A14" s="685">
        <v>7</v>
      </c>
      <c r="B14" s="696" t="s">
        <v>431</v>
      </c>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5"/>
        <v>0</v>
      </c>
      <c r="X14" s="692"/>
      <c r="Y14" s="687">
        <f t="shared" si="6"/>
        <v>0</v>
      </c>
      <c r="Z14" s="688" t="s">
        <v>377</v>
      </c>
      <c r="AA14" s="693">
        <f t="shared" si="7"/>
        <v>0</v>
      </c>
      <c r="AB14" s="694">
        <f t="shared" si="8"/>
        <v>0</v>
      </c>
      <c r="AC14" s="695"/>
      <c r="AD14" s="708">
        <f t="shared" si="9"/>
        <v>162</v>
      </c>
      <c r="AE14" s="709">
        <f>IFERROR(INDEX(V!R$7:R$62,MATCH(AF14,V!L$7:L$62,0)),"")</f>
        <v>85</v>
      </c>
      <c r="AF14" s="710" t="str">
        <f t="shared" si="1"/>
        <v>Jaan Saar</v>
      </c>
      <c r="AG14" s="709">
        <f>IFERROR(INDEX(V!R$7:R$62,MATCH(AH14,V!L$7:L$62,0)),"")</f>
        <v>77</v>
      </c>
      <c r="AH14" s="710" t="str">
        <f t="shared" si="2"/>
        <v>Liidia Põllu</v>
      </c>
      <c r="AI14" s="709" t="str">
        <f>IFERROR(INDEX(V!R$7:R$62,MATCH(AJ14,V!L$7:L$62,0)),"")</f>
        <v/>
      </c>
      <c r="AJ14" s="710" t="str">
        <f t="shared" si="3"/>
        <v/>
      </c>
      <c r="AK14" s="709" t="str">
        <f>IFERROR(INDEX(V!R$7:R$62,MATCH(AL14,V!L$7:L$62,0)),"")</f>
        <v/>
      </c>
      <c r="AL14" s="710" t="str">
        <f t="shared" si="4"/>
        <v/>
      </c>
      <c r="AM14" s="652"/>
    </row>
    <row r="15" spans="1:39" x14ac:dyDescent="0.2">
      <c r="A15" s="685">
        <v>8</v>
      </c>
      <c r="B15" s="696" t="s">
        <v>383</v>
      </c>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5"/>
        <v>0</v>
      </c>
      <c r="X15" s="692"/>
      <c r="Y15" s="687">
        <f t="shared" si="6"/>
        <v>0</v>
      </c>
      <c r="Z15" s="688" t="s">
        <v>377</v>
      </c>
      <c r="AA15" s="693">
        <f t="shared" si="7"/>
        <v>0</v>
      </c>
      <c r="AB15" s="694">
        <f t="shared" si="8"/>
        <v>0</v>
      </c>
      <c r="AC15" s="695"/>
      <c r="AD15" s="708">
        <f t="shared" si="9"/>
        <v>284</v>
      </c>
      <c r="AE15" s="709">
        <f>IFERROR(INDEX(V!R$7:R$62,MATCH(AF15,V!L$7:L$62,0)),"")</f>
        <v>142</v>
      </c>
      <c r="AF15" s="710" t="str">
        <f t="shared" si="1"/>
        <v>Elmo Lageda</v>
      </c>
      <c r="AG15" s="709">
        <f>IFERROR(INDEX(V!R$7:R$62,MATCH(AH15,V!L$7:L$62,0)),"")</f>
        <v>142</v>
      </c>
      <c r="AH15" s="710" t="str">
        <f t="shared" si="2"/>
        <v>Tõnu Piik</v>
      </c>
      <c r="AI15" s="709" t="str">
        <f>IFERROR(INDEX(V!R$7:R$62,MATCH(AJ15,V!L$7:L$62,0)),"")</f>
        <v/>
      </c>
      <c r="AJ15" s="710" t="str">
        <f t="shared" si="3"/>
        <v/>
      </c>
      <c r="AK15" s="709" t="str">
        <f>IFERROR(INDEX(V!R$7:R$62,MATCH(AL15,V!L$7:L$62,0)),"")</f>
        <v/>
      </c>
      <c r="AL15" s="710" t="str">
        <f t="shared" si="4"/>
        <v/>
      </c>
      <c r="AM15" s="652"/>
    </row>
    <row r="16" spans="1:39" x14ac:dyDescent="0.2">
      <c r="A16" s="685">
        <v>9</v>
      </c>
      <c r="B16" s="686" t="s">
        <v>435</v>
      </c>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5"/>
        <v>0</v>
      </c>
      <c r="X16" s="692"/>
      <c r="Y16" s="687">
        <f t="shared" si="6"/>
        <v>0</v>
      </c>
      <c r="Z16" s="688" t="s">
        <v>377</v>
      </c>
      <c r="AA16" s="693">
        <f t="shared" si="7"/>
        <v>0</v>
      </c>
      <c r="AB16" s="694">
        <f t="shared" si="8"/>
        <v>0</v>
      </c>
      <c r="AC16" s="695"/>
      <c r="AD16" s="708">
        <f t="shared" si="9"/>
        <v>203</v>
      </c>
      <c r="AE16" s="709">
        <f>IFERROR(INDEX(V!R$7:R$62,MATCH(AF16,V!L$7:L$62,0)),"")</f>
        <v>90</v>
      </c>
      <c r="AF16" s="710" t="str">
        <f t="shared" si="1"/>
        <v>Johannes Neiland</v>
      </c>
      <c r="AG16" s="709">
        <f>IFERROR(INDEX(V!R$7:R$62,MATCH(AH16,V!L$7:L$62,0)),"")</f>
        <v>113</v>
      </c>
      <c r="AH16" s="710" t="str">
        <f t="shared" si="2"/>
        <v>Kaspar Mänd</v>
      </c>
      <c r="AI16" s="709" t="str">
        <f>IFERROR(INDEX(V!R$7:R$62,MATCH(AJ16,V!L$7:L$62,0)),"")</f>
        <v/>
      </c>
      <c r="AJ16" s="710" t="str">
        <f t="shared" si="3"/>
        <v/>
      </c>
      <c r="AK16" s="709" t="str">
        <f>IFERROR(INDEX(V!R$7:R$62,MATCH(AL16,V!L$7:L$62,0)),"")</f>
        <v/>
      </c>
      <c r="AL16" s="710" t="str">
        <f t="shared" si="4"/>
        <v/>
      </c>
      <c r="AM16" s="652"/>
    </row>
    <row r="17" spans="1:39" x14ac:dyDescent="0.2">
      <c r="A17" s="685">
        <v>10</v>
      </c>
      <c r="B17" s="686" t="s">
        <v>404</v>
      </c>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5"/>
        <v>0</v>
      </c>
      <c r="X17" s="692"/>
      <c r="Y17" s="687">
        <f t="shared" si="6"/>
        <v>0</v>
      </c>
      <c r="Z17" s="688" t="s">
        <v>377</v>
      </c>
      <c r="AA17" s="693">
        <f t="shared" si="7"/>
        <v>0</v>
      </c>
      <c r="AB17" s="694">
        <f t="shared" si="8"/>
        <v>0</v>
      </c>
      <c r="AC17" s="695"/>
      <c r="AD17" s="708">
        <f t="shared" si="9"/>
        <v>235</v>
      </c>
      <c r="AE17" s="709">
        <f>IFERROR(INDEX(V!R$7:R$62,MATCH(AF17,V!L$7:L$62,0)),"")</f>
        <v>125</v>
      </c>
      <c r="AF17" s="710" t="str">
        <f t="shared" si="1"/>
        <v>Karla Purgats</v>
      </c>
      <c r="AG17" s="709">
        <f>IFERROR(INDEX(V!R$7:R$62,MATCH(AH17,V!L$7:L$62,0)),"")</f>
        <v>110</v>
      </c>
      <c r="AH17" s="710" t="str">
        <f t="shared" si="2"/>
        <v>Lemmit Toomra</v>
      </c>
      <c r="AI17" s="709" t="str">
        <f>IFERROR(INDEX(V!R$7:R$62,MATCH(AJ17,V!L$7:L$62,0)),"")</f>
        <v/>
      </c>
      <c r="AJ17" s="710" t="str">
        <f t="shared" si="3"/>
        <v/>
      </c>
      <c r="AK17" s="709" t="str">
        <f>IFERROR(INDEX(V!R$7:R$62,MATCH(AL17,V!L$7:L$62,0)),"")</f>
        <v/>
      </c>
      <c r="AL17" s="710" t="str">
        <f t="shared" si="4"/>
        <v/>
      </c>
      <c r="AM17" s="652"/>
    </row>
    <row r="18" spans="1:39" x14ac:dyDescent="0.2">
      <c r="A18" s="685">
        <v>11</v>
      </c>
      <c r="B18" s="696" t="s">
        <v>387</v>
      </c>
      <c r="C18" s="687"/>
      <c r="D18" s="688" t="s">
        <v>377</v>
      </c>
      <c r="E18" s="689"/>
      <c r="F18" s="690"/>
      <c r="G18" s="687"/>
      <c r="H18" s="688" t="s">
        <v>377</v>
      </c>
      <c r="I18" s="689"/>
      <c r="J18" s="690"/>
      <c r="K18" s="687"/>
      <c r="L18" s="688" t="s">
        <v>377</v>
      </c>
      <c r="M18" s="689"/>
      <c r="N18" s="690"/>
      <c r="O18" s="687"/>
      <c r="P18" s="688" t="s">
        <v>377</v>
      </c>
      <c r="Q18" s="689"/>
      <c r="R18" s="690"/>
      <c r="S18" s="687"/>
      <c r="T18" s="688" t="s">
        <v>377</v>
      </c>
      <c r="U18" s="689"/>
      <c r="V18" s="690"/>
      <c r="W18" s="691">
        <f t="shared" si="5"/>
        <v>0</v>
      </c>
      <c r="X18" s="692"/>
      <c r="Y18" s="687">
        <f t="shared" si="6"/>
        <v>0</v>
      </c>
      <c r="Z18" s="688" t="s">
        <v>377</v>
      </c>
      <c r="AA18" s="693">
        <f t="shared" si="7"/>
        <v>0</v>
      </c>
      <c r="AB18" s="694">
        <f t="shared" si="8"/>
        <v>0</v>
      </c>
      <c r="AC18" s="695"/>
      <c r="AD18" s="708">
        <f t="shared" si="9"/>
        <v>220</v>
      </c>
      <c r="AE18" s="709">
        <f>IFERROR(INDEX(V!R$7:R$62,MATCH(AF18,V!L$7:L$62,0)),"")</f>
        <v>102</v>
      </c>
      <c r="AF18" s="710" t="str">
        <f t="shared" si="1"/>
        <v>Enn Tokman</v>
      </c>
      <c r="AG18" s="709">
        <f>IFERROR(INDEX(V!R$7:R$62,MATCH(AH18,V!L$7:L$62,0)),"")</f>
        <v>118</v>
      </c>
      <c r="AH18" s="710" t="str">
        <f t="shared" si="2"/>
        <v>Tarmo Bombe</v>
      </c>
      <c r="AI18" s="709" t="str">
        <f>IFERROR(INDEX(V!R$7:R$62,MATCH(AJ18,V!L$7:L$62,0)),"")</f>
        <v/>
      </c>
      <c r="AJ18" s="710" t="str">
        <f t="shared" si="3"/>
        <v/>
      </c>
      <c r="AK18" s="709" t="str">
        <f>IFERROR(INDEX(V!R$7:R$62,MATCH(AL18,V!L$7:L$62,0)),"")</f>
        <v/>
      </c>
      <c r="AL18" s="710" t="str">
        <f t="shared" si="4"/>
        <v/>
      </c>
      <c r="AM18" s="652"/>
    </row>
    <row r="19" spans="1:39" x14ac:dyDescent="0.2">
      <c r="A19" s="685">
        <v>12</v>
      </c>
      <c r="B19" s="696" t="s">
        <v>436</v>
      </c>
      <c r="C19" s="687"/>
      <c r="D19" s="688" t="s">
        <v>377</v>
      </c>
      <c r="E19" s="689"/>
      <c r="F19" s="690"/>
      <c r="G19" s="687"/>
      <c r="H19" s="688" t="s">
        <v>377</v>
      </c>
      <c r="I19" s="689"/>
      <c r="J19" s="690"/>
      <c r="K19" s="687"/>
      <c r="L19" s="688" t="s">
        <v>377</v>
      </c>
      <c r="M19" s="689"/>
      <c r="N19" s="690"/>
      <c r="O19" s="687"/>
      <c r="P19" s="688" t="s">
        <v>377</v>
      </c>
      <c r="Q19" s="689"/>
      <c r="R19" s="690"/>
      <c r="S19" s="687"/>
      <c r="T19" s="688" t="s">
        <v>377</v>
      </c>
      <c r="U19" s="689"/>
      <c r="V19" s="690"/>
      <c r="W19" s="691">
        <f t="shared" si="5"/>
        <v>0</v>
      </c>
      <c r="X19" s="692"/>
      <c r="Y19" s="687">
        <f t="shared" si="6"/>
        <v>0</v>
      </c>
      <c r="Z19" s="688" t="s">
        <v>377</v>
      </c>
      <c r="AA19" s="693">
        <f t="shared" si="7"/>
        <v>0</v>
      </c>
      <c r="AB19" s="694">
        <f t="shared" si="8"/>
        <v>0</v>
      </c>
      <c r="AC19" s="695"/>
      <c r="AD19" s="708">
        <f t="shared" si="9"/>
        <v>18</v>
      </c>
      <c r="AE19" s="709">
        <f>IFERROR(INDEX(V!R$7:R$62,MATCH(AF19,V!L$7:L$62,0)),"")</f>
        <v>9</v>
      </c>
      <c r="AF19" s="710" t="str">
        <f t="shared" si="1"/>
        <v>Kristiin-Marleen Neiland</v>
      </c>
      <c r="AG19" s="709">
        <f>IFERROR(INDEX(V!R$7:R$62,MATCH(AH19,V!L$7:L$62,0)),"")</f>
        <v>9</v>
      </c>
      <c r="AH19" s="710" t="str">
        <f t="shared" si="2"/>
        <v>Ksenija Matšneva</v>
      </c>
      <c r="AI19" s="709" t="str">
        <f>IFERROR(INDEX(V!R$7:R$62,MATCH(AJ19,V!L$7:L$62,0)),"")</f>
        <v/>
      </c>
      <c r="AJ19" s="710" t="str">
        <f t="shared" si="3"/>
        <v/>
      </c>
      <c r="AK19" s="709" t="str">
        <f>IFERROR(INDEX(V!R$7:R$62,MATCH(AL19,V!L$7:L$62,0)),"")</f>
        <v/>
      </c>
      <c r="AL19" s="710" t="str">
        <f t="shared" si="4"/>
        <v/>
      </c>
      <c r="AM19" s="652"/>
    </row>
    <row r="20" spans="1:39" hidden="1" x14ac:dyDescent="0.2">
      <c r="A20" s="652"/>
      <c r="B20" s="652"/>
      <c r="C20" s="652"/>
      <c r="D20" s="652"/>
      <c r="E20" s="652"/>
      <c r="F20" s="652"/>
      <c r="G20" s="652"/>
      <c r="H20" s="652"/>
      <c r="I20" s="652"/>
      <c r="J20" s="652"/>
      <c r="K20" s="652"/>
      <c r="L20" s="652"/>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row>
    <row r="21" spans="1:39" hidden="1" x14ac:dyDescent="0.2">
      <c r="A21" s="652"/>
      <c r="B21" s="652"/>
      <c r="C21" s="652"/>
      <c r="D21" s="652"/>
      <c r="E21" s="652"/>
      <c r="F21" s="652"/>
      <c r="G21" s="652"/>
      <c r="H21" s="652"/>
      <c r="I21" s="652"/>
      <c r="J21" s="652"/>
      <c r="K21" s="652"/>
      <c r="L21" s="652"/>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row>
    <row r="22" spans="1:39" hidden="1" x14ac:dyDescent="0.2">
      <c r="A22" s="652"/>
      <c r="B22" s="652"/>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row>
    <row r="23" spans="1:39" hidden="1" x14ac:dyDescent="0.2">
      <c r="A23" s="652"/>
      <c r="B23" s="652"/>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row>
    <row r="24" spans="1:39" hidden="1" x14ac:dyDescent="0.2">
      <c r="A24" s="652"/>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row>
    <row r="25" spans="1:39" hidden="1" x14ac:dyDescent="0.2">
      <c r="A25" s="652"/>
      <c r="B25" s="652"/>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row>
    <row r="26" spans="1:39" hidden="1" x14ac:dyDescent="0.2">
      <c r="A26" s="652"/>
      <c r="B26" s="652"/>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row>
    <row r="27" spans="1:39" hidden="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row>
    <row r="28" spans="1:39" hidden="1" x14ac:dyDescent="0.2">
      <c r="A28" s="652"/>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row>
    <row r="29" spans="1:39" hidden="1" x14ac:dyDescent="0.2">
      <c r="A29" s="652"/>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row>
    <row r="30" spans="1:39"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row>
    <row r="31" spans="1:39"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row>
    <row r="32" spans="1:39"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row>
    <row r="33" spans="1:39"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row>
    <row r="34" spans="1:39"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row>
    <row r="35" spans="1:39"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row>
    <row r="36" spans="1:39"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2"/>
    </row>
    <row r="133" spans="1:39"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c r="AH133" s="652"/>
      <c r="AI133" s="652"/>
      <c r="AJ133" s="652"/>
      <c r="AK133" s="652"/>
      <c r="AL133" s="652"/>
      <c r="AM133" s="652"/>
    </row>
    <row r="134" spans="1:39" hidden="1" x14ac:dyDescent="0.2">
      <c r="A134" s="652"/>
      <c r="B134" s="652"/>
      <c r="C134" s="652"/>
      <c r="D134" s="652"/>
      <c r="E134" s="652"/>
      <c r="F134" s="652"/>
      <c r="G134" s="652"/>
      <c r="H134" s="652"/>
      <c r="I134" s="652"/>
      <c r="J134" s="652"/>
      <c r="K134" s="652"/>
      <c r="L134" s="652"/>
      <c r="M134" s="652"/>
      <c r="N134" s="652"/>
      <c r="O134" s="652"/>
      <c r="P134" s="652"/>
      <c r="Q134" s="652"/>
      <c r="R134" s="652"/>
      <c r="S134" s="652"/>
      <c r="T134" s="652"/>
      <c r="U134" s="652"/>
      <c r="V134" s="652"/>
      <c r="W134" s="652"/>
      <c r="X134" s="652"/>
      <c r="Y134" s="652"/>
      <c r="Z134" s="652"/>
      <c r="AA134" s="652"/>
      <c r="AB134" s="652"/>
      <c r="AC134" s="652"/>
      <c r="AD134" s="652"/>
      <c r="AE134" s="652"/>
      <c r="AF134" s="652"/>
      <c r="AG134" s="652"/>
      <c r="AH134" s="652"/>
      <c r="AI134" s="652"/>
      <c r="AJ134" s="652"/>
      <c r="AK134" s="652"/>
      <c r="AL134" s="652"/>
      <c r="AM134" s="652"/>
    </row>
    <row r="135" spans="1:39" hidden="1" x14ac:dyDescent="0.2">
      <c r="A135" s="652"/>
      <c r="B135" s="652"/>
      <c r="C135" s="652"/>
      <c r="D135" s="652"/>
      <c r="E135" s="652"/>
      <c r="F135" s="652"/>
      <c r="G135" s="652"/>
      <c r="H135" s="652"/>
      <c r="I135" s="652"/>
      <c r="J135" s="652"/>
      <c r="K135" s="652"/>
      <c r="L135" s="657"/>
      <c r="M135" s="657"/>
      <c r="N135" s="657"/>
      <c r="O135" s="652"/>
      <c r="P135" s="652"/>
      <c r="Q135" s="652"/>
      <c r="R135" s="652"/>
      <c r="S135" s="652"/>
      <c r="T135" s="657"/>
      <c r="U135" s="657"/>
      <c r="V135" s="657"/>
      <c r="W135" s="652"/>
      <c r="X135" s="652"/>
      <c r="Y135" s="652"/>
      <c r="Z135" s="652"/>
      <c r="AA135" s="652"/>
      <c r="AB135" s="652"/>
      <c r="AC135" s="652"/>
      <c r="AD135" s="652"/>
      <c r="AE135" s="652"/>
      <c r="AF135" s="652"/>
      <c r="AG135" s="652"/>
      <c r="AH135" s="652"/>
      <c r="AI135" s="652"/>
      <c r="AJ135" s="652"/>
      <c r="AK135" s="652"/>
      <c r="AL135" s="652"/>
      <c r="AM135" s="652"/>
    </row>
    <row r="136" spans="1:39" hidden="1" x14ac:dyDescent="0.2">
      <c r="A136" s="652"/>
      <c r="B136" s="652"/>
      <c r="C136" s="652"/>
      <c r="D136" s="652"/>
      <c r="E136" s="652"/>
      <c r="F136" s="652"/>
      <c r="G136" s="652"/>
      <c r="H136" s="652"/>
      <c r="I136" s="652"/>
      <c r="J136" s="652"/>
      <c r="K136" s="652"/>
      <c r="L136" s="657"/>
      <c r="M136" s="657"/>
      <c r="N136" s="657"/>
      <c r="O136" s="652"/>
      <c r="P136" s="652"/>
      <c r="Q136" s="652"/>
      <c r="R136" s="652"/>
      <c r="S136" s="652"/>
      <c r="T136" s="657"/>
      <c r="U136" s="657"/>
      <c r="V136" s="657"/>
      <c r="W136" s="652"/>
      <c r="X136" s="652"/>
      <c r="Y136" s="652"/>
      <c r="Z136" s="652"/>
      <c r="AA136" s="652"/>
      <c r="AB136" s="652"/>
      <c r="AC136" s="652"/>
      <c r="AD136" s="652"/>
      <c r="AE136" s="652"/>
      <c r="AF136" s="652"/>
      <c r="AG136" s="652"/>
      <c r="AH136" s="652"/>
      <c r="AI136" s="652"/>
      <c r="AJ136" s="652"/>
      <c r="AK136" s="652"/>
      <c r="AL136" s="652"/>
      <c r="AM136" s="652"/>
    </row>
    <row r="137" spans="1:39" hidden="1" x14ac:dyDescent="0.2">
      <c r="A137" s="652"/>
      <c r="B137" s="652"/>
      <c r="C137" s="652"/>
      <c r="D137" s="652"/>
      <c r="E137" s="652"/>
      <c r="F137" s="652"/>
      <c r="G137" s="652"/>
      <c r="H137" s="652"/>
      <c r="I137" s="652"/>
      <c r="J137" s="652"/>
      <c r="K137" s="652"/>
      <c r="L137" s="657"/>
      <c r="M137" s="657"/>
      <c r="N137" s="657"/>
      <c r="O137" s="652"/>
      <c r="P137" s="652"/>
      <c r="Q137" s="652"/>
      <c r="R137" s="652"/>
      <c r="S137" s="652"/>
      <c r="T137" s="657"/>
      <c r="U137" s="657"/>
      <c r="V137" s="657"/>
      <c r="W137" s="652"/>
      <c r="X137" s="652"/>
      <c r="Y137" s="652"/>
      <c r="Z137" s="652"/>
      <c r="AA137" s="652"/>
      <c r="AB137" s="652"/>
      <c r="AC137" s="652"/>
      <c r="AD137" s="652"/>
      <c r="AE137" s="652"/>
      <c r="AF137" s="652"/>
      <c r="AG137" s="652"/>
      <c r="AH137" s="652"/>
      <c r="AI137" s="652"/>
      <c r="AJ137" s="652"/>
      <c r="AK137" s="652"/>
      <c r="AL137" s="652"/>
      <c r="AM137" s="652"/>
    </row>
    <row r="138" spans="1:39" hidden="1" x14ac:dyDescent="0.2">
      <c r="A138" s="652"/>
      <c r="B138" s="652"/>
      <c r="C138" s="652"/>
      <c r="D138" s="652"/>
      <c r="E138" s="652"/>
      <c r="F138" s="652"/>
      <c r="G138" s="652"/>
      <c r="H138" s="652"/>
      <c r="I138" s="652"/>
      <c r="J138" s="652"/>
      <c r="K138" s="652"/>
      <c r="L138" s="657"/>
      <c r="M138" s="657"/>
      <c r="N138" s="657"/>
      <c r="O138" s="652"/>
      <c r="P138" s="652"/>
      <c r="Q138" s="652"/>
      <c r="R138" s="652"/>
      <c r="S138" s="652"/>
      <c r="T138" s="657"/>
      <c r="U138" s="657"/>
      <c r="V138" s="657"/>
      <c r="W138" s="652"/>
      <c r="X138" s="652"/>
      <c r="Y138" s="652"/>
      <c r="Z138" s="652"/>
      <c r="AA138" s="652"/>
      <c r="AB138" s="652"/>
      <c r="AC138" s="652"/>
      <c r="AD138" s="652"/>
      <c r="AE138" s="652"/>
      <c r="AF138" s="652"/>
      <c r="AG138" s="652"/>
      <c r="AH138" s="652"/>
      <c r="AI138" s="652"/>
      <c r="AJ138" s="652"/>
      <c r="AK138" s="652"/>
      <c r="AL138" s="652"/>
      <c r="AM138" s="652"/>
    </row>
    <row r="139" spans="1:39" hidden="1" x14ac:dyDescent="0.2">
      <c r="A139" s="652"/>
      <c r="B139" s="652"/>
      <c r="C139" s="652"/>
      <c r="D139" s="652"/>
      <c r="E139" s="652"/>
      <c r="F139" s="652"/>
      <c r="G139" s="652"/>
      <c r="H139" s="652"/>
      <c r="I139" s="652"/>
      <c r="J139" s="652"/>
      <c r="K139" s="652"/>
      <c r="L139" s="657"/>
      <c r="M139" s="657"/>
      <c r="N139" s="657"/>
      <c r="O139" s="652"/>
      <c r="P139" s="652"/>
      <c r="Q139" s="652"/>
      <c r="R139" s="652"/>
      <c r="S139" s="652"/>
      <c r="T139" s="657"/>
      <c r="U139" s="657"/>
      <c r="V139" s="657"/>
      <c r="W139" s="652"/>
      <c r="X139" s="652"/>
      <c r="Y139" s="652"/>
      <c r="Z139" s="652"/>
      <c r="AA139" s="652"/>
      <c r="AB139" s="652"/>
      <c r="AC139" s="652"/>
      <c r="AD139" s="652"/>
      <c r="AE139" s="652"/>
      <c r="AF139" s="652"/>
      <c r="AG139" s="652"/>
      <c r="AH139" s="652"/>
      <c r="AI139" s="652"/>
      <c r="AJ139" s="652"/>
      <c r="AK139" s="652"/>
      <c r="AL139" s="652"/>
      <c r="AM139" s="652"/>
    </row>
    <row r="140" spans="1:39" hidden="1" x14ac:dyDescent="0.2">
      <c r="A140" s="652"/>
      <c r="B140" s="652"/>
      <c r="C140" s="652"/>
      <c r="D140" s="652"/>
      <c r="E140" s="652"/>
      <c r="F140" s="652"/>
      <c r="G140" s="652"/>
      <c r="H140" s="652"/>
      <c r="I140" s="652"/>
      <c r="J140" s="652"/>
      <c r="K140" s="652"/>
      <c r="L140" s="657"/>
      <c r="M140" s="657"/>
      <c r="N140" s="657"/>
      <c r="O140" s="652"/>
      <c r="P140" s="652"/>
      <c r="Q140" s="652"/>
      <c r="R140" s="652"/>
      <c r="S140" s="652"/>
      <c r="T140" s="657"/>
      <c r="U140" s="657"/>
      <c r="V140" s="657"/>
      <c r="W140" s="652"/>
      <c r="X140" s="652"/>
      <c r="Y140" s="652"/>
      <c r="Z140" s="652"/>
      <c r="AA140" s="652"/>
      <c r="AB140" s="652"/>
      <c r="AC140" s="652"/>
      <c r="AD140" s="652"/>
      <c r="AE140" s="652"/>
      <c r="AF140" s="652"/>
      <c r="AG140" s="652"/>
      <c r="AH140" s="652"/>
      <c r="AI140" s="652"/>
      <c r="AJ140" s="652"/>
      <c r="AK140" s="652"/>
      <c r="AL140" s="652"/>
      <c r="AM140" s="652"/>
    </row>
    <row r="141" spans="1:39" hidden="1" x14ac:dyDescent="0.2">
      <c r="A141" s="652"/>
      <c r="B141" s="652"/>
      <c r="C141" s="652"/>
      <c r="D141" s="652"/>
      <c r="E141" s="652"/>
      <c r="F141" s="652"/>
      <c r="G141" s="652"/>
      <c r="H141" s="652"/>
      <c r="I141" s="652"/>
      <c r="J141" s="652"/>
      <c r="K141" s="652"/>
      <c r="L141" s="657"/>
      <c r="M141" s="657"/>
      <c r="N141" s="657"/>
      <c r="O141" s="652"/>
      <c r="P141" s="652"/>
      <c r="Q141" s="652"/>
      <c r="R141" s="652"/>
      <c r="S141" s="652"/>
      <c r="T141" s="657"/>
      <c r="U141" s="657"/>
      <c r="V141" s="657"/>
      <c r="W141" s="652"/>
      <c r="X141" s="652"/>
      <c r="Y141" s="652"/>
      <c r="Z141" s="652"/>
      <c r="AA141" s="652"/>
      <c r="AB141" s="652"/>
      <c r="AC141" s="652"/>
      <c r="AD141" s="652"/>
      <c r="AE141" s="652"/>
      <c r="AF141" s="652"/>
      <c r="AG141" s="652"/>
      <c r="AH141" s="652"/>
      <c r="AI141" s="652"/>
      <c r="AJ141" s="652"/>
      <c r="AK141" s="652"/>
      <c r="AL141" s="652"/>
      <c r="AM141" s="652"/>
    </row>
    <row r="142" spans="1:39" hidden="1" x14ac:dyDescent="0.2">
      <c r="A142" s="652"/>
      <c r="B142" s="652"/>
      <c r="C142" s="652"/>
      <c r="D142" s="652"/>
      <c r="E142" s="652"/>
      <c r="F142" s="652"/>
      <c r="G142" s="652"/>
      <c r="H142" s="652"/>
      <c r="I142" s="652"/>
      <c r="J142" s="652"/>
      <c r="K142" s="652"/>
      <c r="L142" s="657"/>
      <c r="M142" s="657"/>
      <c r="N142" s="657"/>
      <c r="O142" s="652"/>
      <c r="P142" s="652"/>
      <c r="Q142" s="652"/>
      <c r="R142" s="652"/>
      <c r="S142" s="652"/>
      <c r="T142" s="657"/>
      <c r="U142" s="657"/>
      <c r="V142" s="657"/>
      <c r="W142" s="652"/>
      <c r="X142" s="652"/>
      <c r="Y142" s="652"/>
      <c r="Z142" s="652"/>
      <c r="AA142" s="652"/>
      <c r="AB142" s="652"/>
      <c r="AC142" s="652"/>
      <c r="AD142" s="652"/>
      <c r="AE142" s="652"/>
      <c r="AF142" s="652"/>
      <c r="AG142" s="652"/>
      <c r="AH142" s="652"/>
      <c r="AI142" s="652"/>
      <c r="AJ142" s="652"/>
      <c r="AK142" s="652"/>
      <c r="AL142" s="652"/>
      <c r="AM142" s="652"/>
    </row>
    <row r="143" spans="1:39" hidden="1" x14ac:dyDescent="0.2">
      <c r="A143" s="652"/>
      <c r="B143" s="652"/>
      <c r="C143" s="652"/>
      <c r="D143" s="652"/>
      <c r="E143" s="652"/>
      <c r="F143" s="652"/>
      <c r="G143" s="652"/>
      <c r="H143" s="652"/>
      <c r="I143" s="652"/>
      <c r="J143" s="652"/>
      <c r="K143" s="652"/>
      <c r="L143" s="657"/>
      <c r="M143" s="657"/>
      <c r="N143" s="657"/>
      <c r="O143" s="652"/>
      <c r="P143" s="652"/>
      <c r="Q143" s="652"/>
      <c r="R143" s="652"/>
      <c r="S143" s="652"/>
      <c r="T143" s="657"/>
      <c r="U143" s="657"/>
      <c r="V143" s="657"/>
      <c r="W143" s="652"/>
      <c r="X143" s="652"/>
      <c r="Y143" s="652"/>
      <c r="Z143" s="652"/>
      <c r="AA143" s="652"/>
      <c r="AB143" s="652"/>
      <c r="AC143" s="652"/>
      <c r="AD143" s="652"/>
      <c r="AE143" s="652"/>
      <c r="AF143" s="652"/>
      <c r="AG143" s="652"/>
      <c r="AH143" s="652"/>
      <c r="AI143" s="652"/>
      <c r="AJ143" s="652"/>
      <c r="AK143" s="652"/>
      <c r="AL143" s="652"/>
      <c r="AM143" s="652"/>
    </row>
    <row r="144" spans="1:39" hidden="1" x14ac:dyDescent="0.2">
      <c r="A144" s="652"/>
      <c r="B144" s="652"/>
      <c r="C144" s="652"/>
      <c r="D144" s="652"/>
      <c r="E144" s="652"/>
      <c r="F144" s="652"/>
      <c r="G144" s="652"/>
      <c r="H144" s="652"/>
      <c r="I144" s="652"/>
      <c r="J144" s="652"/>
      <c r="K144" s="652"/>
      <c r="L144" s="657"/>
      <c r="M144" s="657"/>
      <c r="N144" s="657"/>
      <c r="O144" s="652"/>
      <c r="P144" s="652"/>
      <c r="Q144" s="652"/>
      <c r="R144" s="652"/>
      <c r="S144" s="652"/>
      <c r="T144" s="657"/>
      <c r="U144" s="657"/>
      <c r="V144" s="657"/>
      <c r="W144" s="652"/>
      <c r="X144" s="652"/>
      <c r="Y144" s="652"/>
      <c r="Z144" s="652"/>
      <c r="AA144" s="652"/>
      <c r="AB144" s="652"/>
      <c r="AC144" s="652"/>
      <c r="AD144" s="652"/>
      <c r="AE144" s="652"/>
      <c r="AF144" s="652"/>
      <c r="AG144" s="652"/>
      <c r="AH144" s="652"/>
      <c r="AI144" s="652"/>
      <c r="AJ144" s="652"/>
      <c r="AK144" s="652"/>
      <c r="AL144" s="652"/>
      <c r="AM144" s="652"/>
    </row>
    <row r="145" spans="1:39"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652"/>
      <c r="AF145" s="652"/>
      <c r="AG145" s="652"/>
      <c r="AH145" s="652"/>
      <c r="AI145" s="652"/>
      <c r="AJ145" s="652"/>
      <c r="AK145" s="652"/>
      <c r="AL145" s="652"/>
      <c r="AM145" s="652"/>
    </row>
    <row r="146" spans="1:39"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652"/>
      <c r="AF146" s="652"/>
      <c r="AG146" s="652"/>
      <c r="AH146" s="652"/>
      <c r="AI146" s="652"/>
      <c r="AJ146" s="652"/>
      <c r="AK146" s="652"/>
      <c r="AL146" s="652"/>
      <c r="AM146" s="652"/>
    </row>
    <row r="147" spans="1:39"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c r="AI148" s="652"/>
      <c r="AJ148" s="652"/>
      <c r="AK148" s="652"/>
      <c r="AL148" s="652"/>
      <c r="AM148" s="652"/>
    </row>
    <row r="149" spans="1:39"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c r="AH149" s="652"/>
      <c r="AI149" s="652"/>
      <c r="AJ149" s="652"/>
      <c r="AK149" s="652"/>
      <c r="AL149" s="652"/>
      <c r="AM149" s="652"/>
    </row>
    <row r="150" spans="1:39" hidden="1" x14ac:dyDescent="0.2">
      <c r="A150" s="652"/>
      <c r="B150" s="652"/>
      <c r="C150" s="652"/>
      <c r="D150" s="652"/>
      <c r="E150" s="652"/>
      <c r="F150" s="652"/>
      <c r="G150" s="652"/>
      <c r="H150" s="652"/>
      <c r="I150" s="652"/>
      <c r="J150" s="652"/>
      <c r="K150" s="652"/>
      <c r="L150" s="657"/>
      <c r="M150" s="657"/>
      <c r="N150" s="657"/>
      <c r="O150" s="652"/>
      <c r="P150" s="652"/>
      <c r="Q150" s="652"/>
      <c r="R150" s="652"/>
      <c r="S150" s="652"/>
      <c r="T150" s="657"/>
      <c r="U150" s="657"/>
      <c r="V150" s="657"/>
      <c r="W150" s="652"/>
      <c r="X150" s="652"/>
      <c r="Y150" s="652"/>
      <c r="Z150" s="652"/>
      <c r="AA150" s="652"/>
      <c r="AB150" s="652"/>
      <c r="AC150" s="652"/>
      <c r="AD150" s="652"/>
      <c r="AE150" s="652"/>
      <c r="AF150" s="652"/>
      <c r="AG150" s="652"/>
      <c r="AH150" s="652"/>
      <c r="AI150" s="652"/>
      <c r="AJ150" s="652"/>
      <c r="AK150" s="652"/>
      <c r="AL150" s="652"/>
      <c r="AM150" s="652"/>
    </row>
    <row r="151" spans="1:39" hidden="1" x14ac:dyDescent="0.2">
      <c r="A151" s="652"/>
      <c r="B151" s="652"/>
      <c r="C151" s="652"/>
      <c r="D151" s="652"/>
      <c r="E151" s="652"/>
      <c r="F151" s="652"/>
      <c r="G151" s="652"/>
      <c r="H151" s="652"/>
      <c r="I151" s="652"/>
      <c r="J151" s="652"/>
      <c r="K151" s="652"/>
      <c r="L151" s="652"/>
      <c r="M151" s="652"/>
      <c r="N151" s="652"/>
      <c r="O151" s="652"/>
      <c r="P151" s="652"/>
      <c r="Q151" s="652"/>
      <c r="R151" s="652"/>
      <c r="S151" s="652"/>
      <c r="T151" s="652"/>
      <c r="U151" s="652"/>
      <c r="V151" s="652"/>
      <c r="W151" s="652"/>
      <c r="X151" s="652"/>
      <c r="Y151" s="652"/>
      <c r="Z151" s="652"/>
      <c r="AA151" s="652"/>
      <c r="AB151" s="652"/>
      <c r="AC151" s="652"/>
      <c r="AD151" s="652"/>
      <c r="AE151" s="652"/>
      <c r="AF151" s="652"/>
      <c r="AG151" s="652"/>
      <c r="AH151" s="652"/>
      <c r="AI151" s="652"/>
      <c r="AJ151" s="652"/>
      <c r="AK151" s="652"/>
      <c r="AL151" s="652"/>
      <c r="AM151" s="652"/>
    </row>
    <row r="152" spans="1:39" hidden="1" x14ac:dyDescent="0.2">
      <c r="A152" s="652"/>
      <c r="B152" s="652"/>
      <c r="C152" s="652"/>
      <c r="D152" s="652"/>
      <c r="E152" s="652"/>
      <c r="F152" s="652"/>
      <c r="G152" s="652"/>
      <c r="H152" s="652"/>
      <c r="I152" s="652"/>
      <c r="J152" s="652"/>
      <c r="K152" s="652"/>
      <c r="L152" s="652"/>
      <c r="M152" s="652"/>
      <c r="N152" s="652"/>
      <c r="O152" s="652"/>
      <c r="P152" s="652"/>
      <c r="Q152" s="652"/>
      <c r="R152" s="652"/>
      <c r="S152" s="652"/>
      <c r="T152" s="652"/>
      <c r="U152" s="652"/>
      <c r="V152" s="652"/>
      <c r="W152" s="652"/>
      <c r="X152" s="652"/>
      <c r="Y152" s="652"/>
      <c r="Z152" s="652"/>
      <c r="AA152" s="652"/>
      <c r="AB152" s="652"/>
      <c r="AC152" s="652"/>
      <c r="AD152" s="652"/>
      <c r="AE152" s="652"/>
      <c r="AF152" s="652"/>
      <c r="AG152" s="652"/>
      <c r="AH152" s="652"/>
      <c r="AI152" s="652"/>
      <c r="AJ152" s="652"/>
      <c r="AK152" s="652"/>
      <c r="AL152" s="652"/>
      <c r="AM152" s="652"/>
    </row>
    <row r="153" spans="1:39" hidden="1" x14ac:dyDescent="0.2">
      <c r="A153" s="652"/>
      <c r="B153" s="652"/>
      <c r="C153" s="652"/>
      <c r="D153" s="652"/>
      <c r="E153" s="652"/>
      <c r="F153" s="652"/>
      <c r="G153" s="652"/>
      <c r="H153" s="652"/>
      <c r="I153" s="652"/>
      <c r="J153" s="652"/>
      <c r="K153" s="652"/>
      <c r="L153" s="652"/>
      <c r="M153" s="652"/>
      <c r="N153" s="652"/>
      <c r="O153" s="652"/>
      <c r="P153" s="652"/>
      <c r="Q153" s="652"/>
      <c r="R153" s="652"/>
      <c r="S153" s="652"/>
      <c r="T153" s="652"/>
      <c r="U153" s="652"/>
      <c r="V153" s="652"/>
      <c r="W153" s="652"/>
      <c r="X153" s="652"/>
      <c r="Y153" s="652"/>
      <c r="Z153" s="652"/>
      <c r="AA153" s="652"/>
      <c r="AB153" s="652"/>
      <c r="AC153" s="652"/>
      <c r="AD153" s="652"/>
      <c r="AE153" s="652"/>
      <c r="AF153" s="652"/>
      <c r="AG153" s="652"/>
      <c r="AH153" s="652"/>
      <c r="AI153" s="652"/>
      <c r="AJ153" s="652"/>
      <c r="AK153" s="652"/>
      <c r="AL153" s="652"/>
      <c r="AM153" s="652"/>
    </row>
    <row r="154" spans="1:39" hidden="1" x14ac:dyDescent="0.2">
      <c r="A154" s="652"/>
      <c r="B154" s="652"/>
      <c r="C154" s="652"/>
      <c r="D154" s="652"/>
      <c r="E154" s="652"/>
      <c r="F154" s="652"/>
      <c r="G154" s="652"/>
      <c r="H154" s="652"/>
      <c r="I154" s="652"/>
      <c r="J154" s="652"/>
      <c r="K154" s="652"/>
      <c r="L154" s="652"/>
      <c r="M154" s="652"/>
      <c r="N154" s="652"/>
      <c r="O154" s="652"/>
      <c r="P154" s="652"/>
      <c r="Q154" s="652"/>
      <c r="R154" s="652"/>
      <c r="S154" s="652"/>
      <c r="T154" s="652"/>
      <c r="U154" s="652"/>
      <c r="V154" s="652"/>
      <c r="W154" s="652"/>
      <c r="X154" s="652"/>
      <c r="Y154" s="652"/>
      <c r="Z154" s="652"/>
      <c r="AA154" s="652"/>
      <c r="AB154" s="652"/>
      <c r="AC154" s="652"/>
      <c r="AD154" s="652"/>
      <c r="AE154" s="652"/>
      <c r="AF154" s="652"/>
      <c r="AG154" s="652"/>
      <c r="AH154" s="652"/>
      <c r="AI154" s="652"/>
      <c r="AJ154" s="652"/>
      <c r="AK154" s="652"/>
      <c r="AL154" s="652"/>
      <c r="AM154" s="652"/>
    </row>
    <row r="155" spans="1:39" hidden="1" x14ac:dyDescent="0.2">
      <c r="A155" s="652"/>
      <c r="B155" s="652"/>
      <c r="C155" s="652"/>
      <c r="D155" s="652"/>
      <c r="E155" s="652"/>
      <c r="F155" s="652"/>
      <c r="G155" s="652"/>
      <c r="H155" s="652"/>
      <c r="I155" s="652"/>
      <c r="J155" s="652"/>
      <c r="K155" s="652"/>
      <c r="L155" s="652"/>
      <c r="M155" s="652"/>
      <c r="N155" s="652"/>
      <c r="O155" s="652"/>
      <c r="P155" s="652"/>
      <c r="Q155" s="652"/>
      <c r="R155" s="652"/>
      <c r="S155" s="652"/>
      <c r="T155" s="652"/>
      <c r="U155" s="652"/>
      <c r="V155" s="652"/>
      <c r="W155" s="652"/>
      <c r="X155" s="652"/>
      <c r="Y155" s="652"/>
      <c r="Z155" s="652"/>
      <c r="AA155" s="652"/>
      <c r="AB155" s="652"/>
      <c r="AC155" s="652"/>
      <c r="AD155" s="652"/>
      <c r="AE155" s="652"/>
      <c r="AF155" s="652"/>
      <c r="AG155" s="652"/>
      <c r="AH155" s="652"/>
      <c r="AI155" s="652"/>
      <c r="AJ155" s="652"/>
      <c r="AK155" s="652"/>
      <c r="AL155" s="652"/>
      <c r="AM155" s="652"/>
    </row>
    <row r="156" spans="1:39" hidden="1" x14ac:dyDescent="0.2">
      <c r="A156" s="652"/>
      <c r="B156" s="652"/>
      <c r="C156" s="652"/>
      <c r="D156" s="652"/>
      <c r="E156" s="652"/>
      <c r="F156" s="652"/>
      <c r="G156" s="652"/>
      <c r="H156" s="652"/>
      <c r="I156" s="652"/>
      <c r="J156" s="652"/>
      <c r="K156" s="652"/>
      <c r="L156" s="652"/>
      <c r="M156" s="652"/>
      <c r="N156" s="652"/>
      <c r="O156" s="652"/>
      <c r="P156" s="652"/>
      <c r="Q156" s="652"/>
      <c r="R156" s="652"/>
      <c r="S156" s="652"/>
      <c r="T156" s="652"/>
      <c r="U156" s="652"/>
      <c r="V156" s="652"/>
      <c r="W156" s="652"/>
      <c r="X156" s="652"/>
      <c r="Y156" s="652"/>
      <c r="Z156" s="652"/>
      <c r="AA156" s="652"/>
      <c r="AB156" s="652"/>
      <c r="AC156" s="652"/>
      <c r="AD156" s="652"/>
      <c r="AE156" s="652"/>
      <c r="AF156" s="652"/>
      <c r="AG156" s="652"/>
      <c r="AH156" s="652"/>
      <c r="AI156" s="652"/>
      <c r="AJ156" s="652"/>
      <c r="AK156" s="652"/>
      <c r="AL156" s="652"/>
      <c r="AM156" s="652"/>
    </row>
    <row r="157" spans="1:39" hidden="1" x14ac:dyDescent="0.2">
      <c r="A157" s="652"/>
      <c r="B157" s="652"/>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652"/>
      <c r="AK157" s="652"/>
      <c r="AL157" s="652"/>
      <c r="AM157" s="652"/>
    </row>
    <row r="158" spans="1:39" hidden="1" x14ac:dyDescent="0.2">
      <c r="A158" s="652"/>
      <c r="B158" s="652"/>
      <c r="C158" s="652"/>
      <c r="D158" s="652"/>
      <c r="E158" s="652"/>
      <c r="F158" s="652"/>
      <c r="G158" s="652"/>
      <c r="H158" s="652"/>
      <c r="I158" s="652"/>
      <c r="J158" s="652"/>
      <c r="K158" s="652"/>
      <c r="L158" s="652"/>
      <c r="M158" s="652"/>
      <c r="N158" s="652"/>
      <c r="O158" s="652"/>
      <c r="P158" s="652"/>
      <c r="Q158" s="652"/>
      <c r="R158" s="652"/>
      <c r="S158" s="652"/>
      <c r="T158" s="652"/>
      <c r="U158" s="652"/>
      <c r="V158" s="652"/>
      <c r="W158" s="652"/>
      <c r="X158" s="652"/>
      <c r="Y158" s="652"/>
      <c r="Z158" s="652"/>
      <c r="AA158" s="652"/>
      <c r="AB158" s="652"/>
      <c r="AC158" s="652"/>
      <c r="AD158" s="652"/>
      <c r="AE158" s="652"/>
      <c r="AF158" s="652"/>
      <c r="AG158" s="652"/>
      <c r="AH158" s="652"/>
      <c r="AI158" s="652"/>
      <c r="AJ158" s="652"/>
      <c r="AK158" s="652"/>
      <c r="AL158" s="652"/>
      <c r="AM158" s="652"/>
    </row>
    <row r="159" spans="1:39" hidden="1" x14ac:dyDescent="0.2">
      <c r="A159" s="652"/>
      <c r="B159" s="652"/>
      <c r="C159" s="652"/>
      <c r="D159" s="652"/>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652"/>
      <c r="AF159" s="652"/>
      <c r="AG159" s="652"/>
      <c r="AH159" s="652"/>
      <c r="AI159" s="652"/>
      <c r="AJ159" s="652"/>
      <c r="AK159" s="652"/>
      <c r="AL159" s="652"/>
      <c r="AM159" s="652"/>
    </row>
    <row r="160" spans="1:39" hidden="1" x14ac:dyDescent="0.2">
      <c r="A160" s="652"/>
      <c r="B160" s="652"/>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row>
    <row r="161" spans="1:39"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row>
    <row r="162" spans="1:39" hidden="1" x14ac:dyDescent="0.2">
      <c r="A162" s="652"/>
      <c r="B162" s="652"/>
      <c r="C162" s="652"/>
      <c r="D162" s="652"/>
      <c r="E162" s="652"/>
      <c r="F162" s="652"/>
      <c r="G162" s="652"/>
      <c r="H162" s="652"/>
      <c r="I162" s="652"/>
      <c r="J162" s="652"/>
      <c r="K162" s="652"/>
      <c r="L162" s="652"/>
      <c r="M162" s="652"/>
      <c r="N162" s="652"/>
      <c r="O162" s="652"/>
      <c r="P162" s="652"/>
      <c r="Q162" s="652"/>
      <c r="R162" s="652"/>
      <c r="S162" s="652"/>
      <c r="T162" s="652"/>
      <c r="U162" s="652"/>
      <c r="V162" s="652"/>
      <c r="W162" s="652"/>
      <c r="X162" s="652"/>
      <c r="Y162" s="652"/>
      <c r="Z162" s="652"/>
      <c r="AA162" s="652"/>
      <c r="AB162" s="652"/>
      <c r="AC162" s="652"/>
      <c r="AD162" s="652"/>
      <c r="AE162" s="652"/>
      <c r="AF162" s="652"/>
      <c r="AG162" s="652"/>
      <c r="AH162" s="652"/>
      <c r="AI162" s="652"/>
      <c r="AJ162" s="652"/>
      <c r="AK162" s="652"/>
      <c r="AL162" s="652"/>
      <c r="AM162" s="652"/>
    </row>
    <row r="163" spans="1:39" hidden="1" x14ac:dyDescent="0.2">
      <c r="A163" s="652"/>
      <c r="B163" s="652"/>
      <c r="C163" s="652"/>
      <c r="D163" s="652"/>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52"/>
      <c r="AE163" s="652"/>
      <c r="AF163" s="652"/>
      <c r="AG163" s="652"/>
      <c r="AH163" s="652"/>
      <c r="AI163" s="652"/>
      <c r="AJ163" s="652"/>
      <c r="AK163" s="652"/>
      <c r="AL163" s="652"/>
      <c r="AM163" s="652"/>
    </row>
    <row r="164" spans="1:39" hidden="1" x14ac:dyDescent="0.2">
      <c r="A164" s="652"/>
      <c r="B164" s="652"/>
      <c r="C164" s="652"/>
      <c r="D164" s="652"/>
      <c r="E164" s="652"/>
      <c r="F164" s="652"/>
      <c r="G164" s="652"/>
      <c r="H164" s="652"/>
      <c r="I164" s="652"/>
      <c r="J164" s="652"/>
      <c r="K164" s="652"/>
      <c r="L164" s="657"/>
      <c r="M164" s="657"/>
      <c r="N164" s="657"/>
      <c r="O164" s="652"/>
      <c r="P164" s="652"/>
      <c r="Q164" s="652"/>
      <c r="R164" s="652"/>
      <c r="S164" s="652"/>
      <c r="T164" s="657"/>
      <c r="U164" s="657"/>
      <c r="V164" s="657"/>
      <c r="W164" s="652"/>
      <c r="X164" s="652"/>
      <c r="Y164" s="652"/>
      <c r="Z164" s="652"/>
      <c r="AA164" s="652"/>
      <c r="AB164" s="652"/>
      <c r="AC164" s="652"/>
      <c r="AD164" s="652"/>
      <c r="AE164" s="652"/>
      <c r="AF164" s="652"/>
      <c r="AG164" s="652"/>
      <c r="AH164" s="652"/>
      <c r="AI164" s="652"/>
      <c r="AJ164" s="652"/>
      <c r="AK164" s="652"/>
      <c r="AL164" s="652"/>
      <c r="AM164" s="652"/>
    </row>
    <row r="165" spans="1:39" hidden="1" x14ac:dyDescent="0.2">
      <c r="A165" s="652"/>
      <c r="B165" s="652"/>
      <c r="C165" s="652"/>
      <c r="D165" s="652"/>
      <c r="E165" s="652"/>
      <c r="F165" s="652"/>
      <c r="G165" s="652"/>
      <c r="H165" s="652"/>
      <c r="I165" s="652"/>
      <c r="J165" s="652"/>
      <c r="K165" s="652"/>
      <c r="L165" s="657"/>
      <c r="M165" s="657"/>
      <c r="N165" s="657"/>
      <c r="O165" s="652"/>
      <c r="P165" s="652"/>
      <c r="Q165" s="652"/>
      <c r="R165" s="652"/>
      <c r="S165" s="652"/>
      <c r="T165" s="657"/>
      <c r="U165" s="657"/>
      <c r="V165" s="657"/>
      <c r="W165" s="652"/>
      <c r="X165" s="652"/>
      <c r="Y165" s="652"/>
      <c r="Z165" s="652"/>
      <c r="AA165" s="652"/>
      <c r="AB165" s="652"/>
      <c r="AC165" s="652"/>
      <c r="AD165" s="652"/>
      <c r="AE165" s="652"/>
      <c r="AF165" s="652"/>
      <c r="AG165" s="652"/>
      <c r="AH165" s="652"/>
      <c r="AI165" s="652"/>
      <c r="AJ165" s="652"/>
      <c r="AK165" s="652"/>
      <c r="AL165" s="652"/>
      <c r="AM165" s="652"/>
    </row>
    <row r="166" spans="1:39" hidden="1" x14ac:dyDescent="0.2">
      <c r="A166" s="652"/>
      <c r="B166" s="652"/>
      <c r="C166" s="652"/>
      <c r="D166" s="652"/>
      <c r="E166" s="652"/>
      <c r="F166" s="652"/>
      <c r="G166" s="652"/>
      <c r="H166" s="652"/>
      <c r="I166" s="652"/>
      <c r="J166" s="652"/>
      <c r="K166" s="652"/>
      <c r="L166" s="657"/>
      <c r="M166" s="657"/>
      <c r="N166" s="657"/>
      <c r="O166" s="652"/>
      <c r="P166" s="652"/>
      <c r="Q166" s="652"/>
      <c r="R166" s="652"/>
      <c r="S166" s="652"/>
      <c r="T166" s="657"/>
      <c r="U166" s="657"/>
      <c r="V166" s="657"/>
      <c r="W166" s="652"/>
      <c r="X166" s="652"/>
      <c r="Y166" s="652"/>
      <c r="Z166" s="652"/>
      <c r="AA166" s="652"/>
      <c r="AB166" s="652"/>
      <c r="AC166" s="652"/>
      <c r="AD166" s="652"/>
      <c r="AE166" s="652"/>
      <c r="AF166" s="652"/>
      <c r="AG166" s="652"/>
      <c r="AH166" s="652"/>
      <c r="AI166" s="652"/>
      <c r="AJ166" s="652"/>
      <c r="AK166" s="652"/>
      <c r="AL166" s="652"/>
      <c r="AM166" s="652"/>
    </row>
    <row r="167" spans="1:39" hidden="1" x14ac:dyDescent="0.2">
      <c r="A167" s="652"/>
      <c r="B167" s="652"/>
      <c r="C167" s="652"/>
      <c r="D167" s="652"/>
      <c r="E167" s="652"/>
      <c r="F167" s="652"/>
      <c r="G167" s="652"/>
      <c r="H167" s="652"/>
      <c r="I167" s="652"/>
      <c r="J167" s="652"/>
      <c r="K167" s="652"/>
      <c r="L167" s="657"/>
      <c r="M167" s="657"/>
      <c r="N167" s="657"/>
      <c r="O167" s="652"/>
      <c r="P167" s="652"/>
      <c r="Q167" s="652"/>
      <c r="R167" s="652"/>
      <c r="S167" s="652"/>
      <c r="T167" s="657"/>
      <c r="U167" s="657"/>
      <c r="V167" s="657"/>
      <c r="W167" s="652"/>
      <c r="X167" s="652"/>
      <c r="Y167" s="652"/>
      <c r="Z167" s="652"/>
      <c r="AA167" s="652"/>
      <c r="AB167" s="652"/>
      <c r="AC167" s="652"/>
      <c r="AD167" s="652"/>
      <c r="AE167" s="652"/>
      <c r="AF167" s="652"/>
      <c r="AG167" s="652"/>
      <c r="AH167" s="652"/>
      <c r="AI167" s="652"/>
      <c r="AJ167" s="652"/>
      <c r="AK167" s="652"/>
      <c r="AL167" s="652"/>
      <c r="AM167" s="652"/>
    </row>
    <row r="168" spans="1:39" hidden="1" x14ac:dyDescent="0.2">
      <c r="A168" s="652"/>
      <c r="B168" s="652"/>
      <c r="C168" s="652"/>
      <c r="D168" s="652"/>
      <c r="E168" s="652"/>
      <c r="F168" s="652"/>
      <c r="G168" s="652"/>
      <c r="H168" s="652"/>
      <c r="I168" s="652"/>
      <c r="J168" s="652"/>
      <c r="K168" s="652"/>
      <c r="L168" s="657"/>
      <c r="M168" s="657"/>
      <c r="N168" s="657"/>
      <c r="O168" s="652"/>
      <c r="P168" s="652"/>
      <c r="Q168" s="652"/>
      <c r="R168" s="652"/>
      <c r="S168" s="652"/>
      <c r="T168" s="657"/>
      <c r="U168" s="657"/>
      <c r="V168" s="657"/>
      <c r="W168" s="652"/>
      <c r="X168" s="652"/>
      <c r="Y168" s="652"/>
      <c r="Z168" s="652"/>
      <c r="AA168" s="652"/>
      <c r="AB168" s="652"/>
      <c r="AC168" s="652"/>
      <c r="AD168" s="652"/>
      <c r="AE168" s="652"/>
      <c r="AF168" s="652"/>
      <c r="AG168" s="652"/>
      <c r="AH168" s="652"/>
      <c r="AI168" s="652"/>
      <c r="AJ168" s="652"/>
      <c r="AK168" s="652"/>
      <c r="AL168" s="652"/>
      <c r="AM168" s="652"/>
    </row>
    <row r="169" spans="1:39" hidden="1" x14ac:dyDescent="0.2">
      <c r="A169" s="652"/>
      <c r="B169" s="652"/>
      <c r="C169" s="652"/>
      <c r="D169" s="652"/>
      <c r="E169" s="652"/>
      <c r="F169" s="652"/>
      <c r="G169" s="652"/>
      <c r="H169" s="652"/>
      <c r="I169" s="652"/>
      <c r="J169" s="652"/>
      <c r="K169" s="652"/>
      <c r="L169" s="657"/>
      <c r="M169" s="657"/>
      <c r="N169" s="657"/>
      <c r="O169" s="652"/>
      <c r="P169" s="652"/>
      <c r="Q169" s="652"/>
      <c r="R169" s="652"/>
      <c r="S169" s="652"/>
      <c r="T169" s="657"/>
      <c r="U169" s="657"/>
      <c r="V169" s="657"/>
      <c r="W169" s="652"/>
      <c r="X169" s="652"/>
      <c r="Y169" s="652"/>
      <c r="Z169" s="652"/>
      <c r="AA169" s="652"/>
      <c r="AB169" s="652"/>
      <c r="AC169" s="652"/>
      <c r="AD169" s="652"/>
      <c r="AE169" s="652"/>
      <c r="AF169" s="652"/>
      <c r="AG169" s="652"/>
      <c r="AH169" s="652"/>
      <c r="AI169" s="652"/>
      <c r="AJ169" s="652"/>
      <c r="AK169" s="652"/>
      <c r="AL169" s="652"/>
      <c r="AM169" s="652"/>
    </row>
    <row r="170" spans="1:39" hidden="1" x14ac:dyDescent="0.2">
      <c r="A170" s="652"/>
      <c r="B170" s="652"/>
      <c r="C170" s="652"/>
      <c r="D170" s="652"/>
      <c r="E170" s="652"/>
      <c r="F170" s="652"/>
      <c r="G170" s="652"/>
      <c r="H170" s="652"/>
      <c r="I170" s="652"/>
      <c r="J170" s="652"/>
      <c r="K170" s="652"/>
      <c r="L170" s="657"/>
      <c r="M170" s="657"/>
      <c r="N170" s="657"/>
      <c r="O170" s="652"/>
      <c r="P170" s="652"/>
      <c r="Q170" s="652"/>
      <c r="R170" s="652"/>
      <c r="S170" s="652"/>
      <c r="T170" s="657"/>
      <c r="U170" s="657"/>
      <c r="V170" s="657"/>
      <c r="W170" s="652"/>
      <c r="X170" s="652"/>
      <c r="Y170" s="652"/>
      <c r="Z170" s="652"/>
      <c r="AA170" s="652"/>
      <c r="AB170" s="652"/>
      <c r="AC170" s="652"/>
      <c r="AD170" s="652"/>
      <c r="AE170" s="652"/>
      <c r="AF170" s="652"/>
      <c r="AG170" s="652"/>
      <c r="AH170" s="652"/>
      <c r="AI170" s="652"/>
      <c r="AJ170" s="652"/>
      <c r="AK170" s="652"/>
      <c r="AL170" s="652"/>
      <c r="AM170" s="652"/>
    </row>
    <row r="171" spans="1:39" hidden="1" x14ac:dyDescent="0.2">
      <c r="A171" s="652"/>
      <c r="B171" s="652"/>
      <c r="C171" s="652"/>
      <c r="D171" s="652"/>
      <c r="E171" s="652"/>
      <c r="F171" s="652"/>
      <c r="G171" s="652"/>
      <c r="H171" s="652"/>
      <c r="I171" s="652"/>
      <c r="J171" s="652"/>
      <c r="K171" s="652"/>
      <c r="L171" s="657"/>
      <c r="M171" s="657"/>
      <c r="N171" s="657"/>
      <c r="O171" s="652"/>
      <c r="P171" s="652"/>
      <c r="Q171" s="652"/>
      <c r="R171" s="652"/>
      <c r="S171" s="652"/>
      <c r="T171" s="657"/>
      <c r="U171" s="657"/>
      <c r="V171" s="657"/>
      <c r="W171" s="652"/>
      <c r="X171" s="652"/>
      <c r="Y171" s="652"/>
      <c r="Z171" s="652"/>
      <c r="AA171" s="652"/>
      <c r="AB171" s="652"/>
      <c r="AC171" s="652"/>
      <c r="AD171" s="652"/>
      <c r="AE171" s="652"/>
      <c r="AF171" s="652"/>
      <c r="AG171" s="652"/>
      <c r="AH171" s="652"/>
      <c r="AI171" s="652"/>
      <c r="AJ171" s="652"/>
      <c r="AK171" s="652"/>
      <c r="AL171" s="652"/>
      <c r="AM171" s="652"/>
    </row>
    <row r="172" spans="1:39" hidden="1" x14ac:dyDescent="0.2">
      <c r="A172" s="652"/>
      <c r="B172" s="652"/>
      <c r="C172" s="652"/>
      <c r="D172" s="652"/>
      <c r="E172" s="652"/>
      <c r="F172" s="652"/>
      <c r="G172" s="652"/>
      <c r="H172" s="652"/>
      <c r="I172" s="652"/>
      <c r="J172" s="652"/>
      <c r="K172" s="652"/>
      <c r="L172" s="657"/>
      <c r="M172" s="657"/>
      <c r="N172" s="657"/>
      <c r="O172" s="652"/>
      <c r="P172" s="652"/>
      <c r="Q172" s="652"/>
      <c r="R172" s="652"/>
      <c r="S172" s="652"/>
      <c r="T172" s="657"/>
      <c r="U172" s="657"/>
      <c r="V172" s="657"/>
      <c r="W172" s="652"/>
      <c r="X172" s="652"/>
      <c r="Y172" s="652"/>
      <c r="Z172" s="652"/>
      <c r="AA172" s="652"/>
      <c r="AB172" s="652"/>
      <c r="AC172" s="652"/>
      <c r="AD172" s="652"/>
      <c r="AE172" s="652"/>
      <c r="AF172" s="652"/>
      <c r="AG172" s="652"/>
      <c r="AH172" s="652"/>
      <c r="AI172" s="652"/>
      <c r="AJ172" s="652"/>
      <c r="AK172" s="652"/>
      <c r="AL172" s="652"/>
      <c r="AM172" s="652"/>
    </row>
    <row r="173" spans="1:39" hidden="1" x14ac:dyDescent="0.2">
      <c r="A173" s="652"/>
      <c r="B173" s="652"/>
      <c r="C173" s="652"/>
      <c r="D173" s="652"/>
      <c r="E173" s="652"/>
      <c r="F173" s="652"/>
      <c r="G173" s="652"/>
      <c r="H173" s="652"/>
      <c r="I173" s="652"/>
      <c r="J173" s="652"/>
      <c r="K173" s="652"/>
      <c r="L173" s="657"/>
      <c r="M173" s="657"/>
      <c r="N173" s="657"/>
      <c r="O173" s="652"/>
      <c r="P173" s="652"/>
      <c r="Q173" s="652"/>
      <c r="R173" s="652"/>
      <c r="S173" s="652"/>
      <c r="T173" s="657"/>
      <c r="U173" s="657"/>
      <c r="V173" s="657"/>
      <c r="W173" s="652"/>
      <c r="X173" s="652"/>
      <c r="Y173" s="652"/>
      <c r="Z173" s="652"/>
      <c r="AA173" s="652"/>
      <c r="AB173" s="652"/>
      <c r="AC173" s="652"/>
      <c r="AD173" s="652"/>
      <c r="AE173" s="652"/>
      <c r="AF173" s="652"/>
      <c r="AG173" s="652"/>
      <c r="AH173" s="652"/>
      <c r="AI173" s="652"/>
      <c r="AJ173" s="652"/>
      <c r="AK173" s="652"/>
      <c r="AL173" s="652"/>
      <c r="AM173" s="652"/>
    </row>
    <row r="174" spans="1:39"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652"/>
      <c r="AF174" s="652"/>
      <c r="AG174" s="652"/>
      <c r="AH174" s="652"/>
      <c r="AI174" s="652"/>
      <c r="AJ174" s="652"/>
      <c r="AK174" s="652"/>
      <c r="AL174" s="652"/>
      <c r="AM174" s="652"/>
    </row>
    <row r="175" spans="1:39"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652"/>
      <c r="AF175" s="652"/>
      <c r="AG175" s="652"/>
      <c r="AH175" s="652"/>
      <c r="AI175" s="652"/>
      <c r="AJ175" s="652"/>
      <c r="AK175" s="652"/>
      <c r="AL175" s="652"/>
      <c r="AM175" s="652"/>
    </row>
    <row r="176" spans="1:39"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c r="AI284" s="652"/>
      <c r="AJ284" s="652"/>
      <c r="AK284" s="652"/>
      <c r="AL284" s="652"/>
      <c r="AM284" s="652"/>
    </row>
    <row r="285" spans="1:39"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c r="AH285" s="652"/>
      <c r="AI285" s="652"/>
      <c r="AJ285" s="652"/>
      <c r="AK285" s="652"/>
      <c r="AL285" s="652"/>
      <c r="AM285" s="652"/>
    </row>
    <row r="286" spans="1:39" hidden="1" x14ac:dyDescent="0.2">
      <c r="A286" s="652"/>
      <c r="B286" s="652"/>
      <c r="C286" s="652"/>
      <c r="D286" s="652"/>
      <c r="E286" s="652"/>
      <c r="F286" s="652"/>
      <c r="G286" s="652"/>
      <c r="H286" s="652"/>
      <c r="I286" s="652"/>
      <c r="J286" s="652"/>
      <c r="K286" s="652"/>
      <c r="L286" s="657"/>
      <c r="M286" s="657"/>
      <c r="N286" s="657"/>
      <c r="O286" s="652"/>
      <c r="P286" s="652"/>
      <c r="Q286" s="652"/>
      <c r="R286" s="652"/>
      <c r="S286" s="652"/>
      <c r="T286" s="657"/>
      <c r="U286" s="657"/>
      <c r="V286" s="657"/>
      <c r="W286" s="652"/>
      <c r="X286" s="652"/>
      <c r="Y286" s="652"/>
      <c r="Z286" s="652"/>
      <c r="AA286" s="652"/>
      <c r="AB286" s="652"/>
      <c r="AC286" s="652"/>
      <c r="AD286" s="652"/>
      <c r="AE286" s="652"/>
      <c r="AF286" s="652"/>
      <c r="AG286" s="652"/>
      <c r="AH286" s="652"/>
      <c r="AI286" s="652"/>
      <c r="AJ286" s="652"/>
      <c r="AK286" s="652"/>
      <c r="AL286" s="652"/>
      <c r="AM286" s="652"/>
    </row>
    <row r="287" spans="1:39" hidden="1" x14ac:dyDescent="0.2">
      <c r="D287" s="698"/>
      <c r="E287" s="698"/>
      <c r="F287" s="652"/>
      <c r="G287" s="652"/>
      <c r="H287" s="652"/>
      <c r="I287" s="652"/>
      <c r="J287" s="652"/>
      <c r="K287" s="652"/>
      <c r="L287" s="652"/>
      <c r="M287" s="652"/>
      <c r="N287" s="652"/>
      <c r="O287" s="652"/>
      <c r="P287" s="652"/>
      <c r="Q287" s="652"/>
      <c r="R287" s="652"/>
      <c r="S287" s="652"/>
      <c r="T287" s="652"/>
      <c r="U287" s="652"/>
      <c r="V287" s="652"/>
      <c r="W287" s="652"/>
      <c r="X287" s="652"/>
      <c r="Y287" s="652"/>
      <c r="Z287" s="652"/>
      <c r="AA287" s="652"/>
      <c r="AB287" s="652"/>
      <c r="AC287" s="652"/>
      <c r="AD287" s="652"/>
      <c r="AE287" s="652"/>
      <c r="AF287" s="652"/>
      <c r="AG287" s="652"/>
      <c r="AH287" s="652"/>
      <c r="AI287" s="652"/>
      <c r="AJ287" s="652"/>
      <c r="AK287" s="652"/>
      <c r="AL287" s="652"/>
      <c r="AM287" s="652"/>
    </row>
    <row r="288" spans="1:39" hidden="1" x14ac:dyDescent="0.2">
      <c r="D288" s="702"/>
      <c r="E288" s="702"/>
      <c r="F288" s="652"/>
      <c r="G288" s="652"/>
      <c r="H288" s="652"/>
      <c r="I288" s="652"/>
      <c r="J288" s="652"/>
      <c r="K288" s="652"/>
      <c r="L288" s="652"/>
      <c r="M288" s="652"/>
      <c r="N288" s="652"/>
      <c r="O288" s="652"/>
      <c r="P288" s="652"/>
      <c r="Q288" s="652"/>
      <c r="R288" s="652"/>
      <c r="S288" s="652"/>
      <c r="T288" s="652"/>
      <c r="U288" s="652"/>
      <c r="V288" s="652"/>
      <c r="W288" s="652"/>
      <c r="X288" s="652"/>
      <c r="Y288" s="652"/>
      <c r="Z288" s="652"/>
      <c r="AA288" s="652"/>
      <c r="AB288" s="652"/>
      <c r="AC288" s="652"/>
      <c r="AD288" s="652"/>
      <c r="AE288" s="652"/>
      <c r="AF288" s="652"/>
      <c r="AG288" s="652"/>
      <c r="AH288" s="652"/>
      <c r="AI288" s="652"/>
      <c r="AJ288" s="652"/>
      <c r="AK288" s="652"/>
      <c r="AL288" s="652"/>
      <c r="AM288" s="652"/>
    </row>
    <row r="289" spans="1:39" hidden="1" x14ac:dyDescent="0.2">
      <c r="D289" s="653"/>
      <c r="E289" s="653"/>
      <c r="F289" s="652"/>
      <c r="G289" s="652"/>
      <c r="H289" s="652"/>
      <c r="I289" s="652"/>
      <c r="J289" s="652"/>
      <c r="K289" s="652"/>
      <c r="L289" s="652"/>
      <c r="M289" s="652"/>
      <c r="N289" s="652"/>
      <c r="O289" s="652"/>
      <c r="P289" s="652"/>
      <c r="Q289" s="652"/>
      <c r="R289" s="652"/>
      <c r="S289" s="652"/>
      <c r="T289" s="652"/>
      <c r="U289" s="652"/>
      <c r="V289" s="652"/>
      <c r="W289" s="703"/>
      <c r="X289" s="652"/>
      <c r="Y289" s="652"/>
      <c r="Z289" s="652"/>
      <c r="AA289" s="652"/>
      <c r="AB289" s="652"/>
      <c r="AC289" s="652"/>
      <c r="AD289" s="652"/>
      <c r="AE289" s="652"/>
      <c r="AF289" s="652"/>
      <c r="AG289" s="652"/>
      <c r="AH289" s="652"/>
      <c r="AI289" s="652"/>
      <c r="AJ289" s="652"/>
      <c r="AK289" s="652"/>
      <c r="AL289" s="652"/>
      <c r="AM289" s="652"/>
    </row>
    <row r="290" spans="1:39" hidden="1" x14ac:dyDescent="0.2">
      <c r="D290" s="653"/>
      <c r="E290" s="653"/>
      <c r="F290" s="65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c r="AI290" s="652"/>
      <c r="AJ290" s="652"/>
      <c r="AK290" s="652"/>
      <c r="AL290" s="652"/>
      <c r="AM290" s="652"/>
    </row>
    <row r="291" spans="1:39" hidden="1" x14ac:dyDescent="0.2">
      <c r="D291" s="653"/>
      <c r="E291" s="653"/>
      <c r="F291" s="652"/>
      <c r="G291" s="652"/>
      <c r="H291" s="652"/>
      <c r="I291" s="652"/>
      <c r="J291" s="652"/>
      <c r="K291" s="652"/>
      <c r="L291" s="652"/>
      <c r="M291" s="652"/>
      <c r="N291" s="652"/>
      <c r="O291" s="652"/>
      <c r="P291" s="652"/>
      <c r="Q291" s="652"/>
      <c r="R291" s="652"/>
      <c r="S291" s="652"/>
      <c r="T291" s="652"/>
      <c r="U291" s="652"/>
      <c r="V291" s="652"/>
      <c r="W291" s="652"/>
      <c r="X291" s="652"/>
      <c r="Y291" s="652"/>
      <c r="Z291" s="652"/>
      <c r="AA291" s="652"/>
      <c r="AB291" s="652"/>
      <c r="AC291" s="652"/>
      <c r="AD291" s="652"/>
      <c r="AE291" s="652"/>
      <c r="AF291" s="652"/>
      <c r="AG291" s="652"/>
      <c r="AH291" s="652"/>
      <c r="AI291" s="652"/>
      <c r="AJ291" s="652"/>
      <c r="AK291" s="652"/>
      <c r="AL291" s="652"/>
      <c r="AM291" s="652"/>
    </row>
    <row r="292" spans="1:39" hidden="1" x14ac:dyDescent="0.2">
      <c r="D292" s="653"/>
      <c r="E292" s="653"/>
      <c r="F292" s="65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652"/>
      <c r="AF292" s="652"/>
      <c r="AG292" s="652"/>
      <c r="AH292" s="652"/>
      <c r="AI292" s="652"/>
      <c r="AJ292" s="652"/>
      <c r="AK292" s="652"/>
      <c r="AL292" s="652"/>
      <c r="AM292" s="652"/>
    </row>
    <row r="293" spans="1:39" hidden="1" x14ac:dyDescent="0.2">
      <c r="D293" s="653"/>
      <c r="E293" s="653"/>
      <c r="F293" s="65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652"/>
      <c r="AI293" s="652"/>
      <c r="AJ293" s="652"/>
      <c r="AK293" s="652"/>
      <c r="AL293" s="652"/>
      <c r="AM293" s="652"/>
    </row>
    <row r="294" spans="1:39" hidden="1" x14ac:dyDescent="0.2">
      <c r="D294" s="653"/>
      <c r="E294" s="653"/>
      <c r="F294" s="652"/>
      <c r="G294" s="652"/>
      <c r="H294" s="652"/>
      <c r="I294" s="652"/>
      <c r="J294" s="652"/>
      <c r="K294" s="652"/>
      <c r="L294" s="652"/>
      <c r="M294" s="652"/>
      <c r="N294" s="652"/>
      <c r="O294" s="652"/>
      <c r="P294" s="652"/>
      <c r="Q294" s="652"/>
      <c r="R294" s="652"/>
      <c r="S294" s="652"/>
      <c r="T294" s="652"/>
      <c r="U294" s="652"/>
      <c r="V294" s="652"/>
      <c r="W294" s="703"/>
      <c r="X294" s="652"/>
      <c r="Y294" s="652"/>
      <c r="Z294" s="652"/>
      <c r="AA294" s="652"/>
      <c r="AB294" s="652"/>
      <c r="AC294" s="652"/>
      <c r="AD294" s="652"/>
      <c r="AE294" s="652"/>
      <c r="AF294" s="652"/>
      <c r="AG294" s="652"/>
      <c r="AH294" s="652"/>
      <c r="AI294" s="652"/>
      <c r="AJ294" s="652"/>
      <c r="AK294" s="652"/>
      <c r="AL294" s="652"/>
      <c r="AM294" s="652"/>
    </row>
    <row r="295" spans="1:39" hidden="1" x14ac:dyDescent="0.2">
      <c r="D295" s="653"/>
      <c r="E295" s="653"/>
      <c r="F295" s="652"/>
      <c r="G295" s="652"/>
      <c r="H295" s="652"/>
      <c r="I295" s="65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652"/>
      <c r="AF295" s="652"/>
      <c r="AG295" s="652"/>
      <c r="AH295" s="652"/>
      <c r="AI295" s="652"/>
      <c r="AJ295" s="652"/>
      <c r="AK295" s="652"/>
      <c r="AL295" s="652"/>
      <c r="AM295" s="652"/>
    </row>
    <row r="296" spans="1:39" hidden="1" x14ac:dyDescent="0.2">
      <c r="D296" s="653"/>
      <c r="E296" s="653"/>
      <c r="F296" s="652"/>
      <c r="G296" s="652"/>
      <c r="H296" s="652"/>
      <c r="I296" s="652"/>
      <c r="J296" s="652"/>
      <c r="K296" s="652"/>
      <c r="L296" s="652"/>
      <c r="M296" s="652"/>
      <c r="N296" s="652"/>
      <c r="O296" s="652"/>
      <c r="P296" s="652"/>
      <c r="Q296" s="652"/>
      <c r="R296" s="652"/>
      <c r="S296" s="652"/>
      <c r="T296" s="652"/>
      <c r="U296" s="652"/>
      <c r="V296" s="652"/>
      <c r="W296" s="652"/>
      <c r="X296" s="652"/>
      <c r="Y296" s="652"/>
      <c r="Z296" s="652"/>
      <c r="AA296" s="652"/>
      <c r="AB296" s="652"/>
      <c r="AC296" s="652"/>
      <c r="AD296" s="652"/>
      <c r="AE296" s="652"/>
      <c r="AF296" s="652"/>
      <c r="AG296" s="652"/>
      <c r="AH296" s="652"/>
      <c r="AI296" s="652"/>
      <c r="AJ296" s="652"/>
      <c r="AK296" s="652"/>
      <c r="AL296" s="652"/>
      <c r="AM296" s="652"/>
    </row>
    <row r="297" spans="1:39" hidden="1" x14ac:dyDescent="0.2">
      <c r="D297" s="653"/>
      <c r="E297" s="653"/>
      <c r="F297" s="65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652"/>
      <c r="AF297" s="652"/>
      <c r="AG297" s="652"/>
      <c r="AH297" s="652"/>
      <c r="AI297" s="652"/>
      <c r="AJ297" s="652"/>
      <c r="AK297" s="652"/>
      <c r="AL297" s="652"/>
      <c r="AM297" s="652"/>
    </row>
    <row r="298" spans="1:39" x14ac:dyDescent="0.2">
      <c r="D298" s="652"/>
      <c r="E298" s="652"/>
      <c r="F298" s="652"/>
      <c r="G298" s="652"/>
      <c r="H298" s="652"/>
      <c r="I298" s="652"/>
      <c r="J298" s="652"/>
      <c r="K298" s="652"/>
      <c r="L298" s="652"/>
      <c r="M298" s="652"/>
      <c r="N298" s="652"/>
      <c r="O298" s="652"/>
      <c r="P298" s="652"/>
      <c r="Q298" s="652"/>
      <c r="R298" s="652"/>
      <c r="S298" s="652"/>
      <c r="T298" s="652"/>
      <c r="U298" s="652"/>
      <c r="V298" s="652"/>
      <c r="W298" s="652"/>
      <c r="X298" s="652"/>
      <c r="Y298" s="652"/>
      <c r="Z298" s="652"/>
      <c r="AA298" s="652"/>
      <c r="AB298" s="652"/>
      <c r="AC298" s="652"/>
      <c r="AD298" s="652"/>
      <c r="AE298" s="652"/>
      <c r="AF298" s="652"/>
      <c r="AG298" s="652"/>
      <c r="AH298" s="652"/>
      <c r="AI298" s="652"/>
      <c r="AJ298" s="652"/>
      <c r="AK298" s="652"/>
      <c r="AL298" s="652"/>
      <c r="AM298" s="652"/>
    </row>
    <row r="299" spans="1:39" x14ac:dyDescent="0.2">
      <c r="A299" s="652"/>
      <c r="B299" s="652"/>
      <c r="C299" s="697" t="s">
        <v>182</v>
      </c>
      <c r="D299" s="652"/>
      <c r="E299" s="652"/>
      <c r="F299" s="652"/>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c r="AH299" s="652"/>
      <c r="AI299" s="652"/>
      <c r="AJ299" s="652"/>
      <c r="AK299" s="652"/>
      <c r="AL299" s="652"/>
      <c r="AM299" s="652"/>
    </row>
    <row r="300" spans="1:39" x14ac:dyDescent="0.2">
      <c r="A300" s="699">
        <v>1</v>
      </c>
      <c r="B300" s="700" t="str">
        <f t="shared" ref="B300:B311" si="10">IFERROR(INDEX(B$1:B$88,MATCH(A300,A$1:A$88,0)),"")</f>
        <v>Aigi Orro, Jaan Sepp</v>
      </c>
      <c r="C300" s="701">
        <f t="shared" ref="C300:C311" si="11">IF(21-A300&gt;0,IF(OR(A300=A301,A299=A300),21-A300-0.5,21-A300),1)</f>
        <v>20</v>
      </c>
    </row>
    <row r="301" spans="1:39" x14ac:dyDescent="0.2">
      <c r="A301" s="699">
        <v>2</v>
      </c>
      <c r="B301" s="700" t="str">
        <f t="shared" si="10"/>
        <v>Tõnu Kapper, Vladimir Ogneštšikov</v>
      </c>
      <c r="C301" s="701">
        <f t="shared" si="11"/>
        <v>19</v>
      </c>
    </row>
    <row r="302" spans="1:39" x14ac:dyDescent="0.2">
      <c r="A302" s="699">
        <v>3</v>
      </c>
      <c r="B302" s="700" t="str">
        <f t="shared" si="10"/>
        <v>Oksana Rõndenkova, Oleg Rõndenkov</v>
      </c>
      <c r="C302" s="701">
        <f t="shared" si="11"/>
        <v>18</v>
      </c>
    </row>
    <row r="303" spans="1:39" x14ac:dyDescent="0.2">
      <c r="A303" s="699">
        <v>4</v>
      </c>
      <c r="B303" s="700" t="str">
        <f t="shared" si="10"/>
        <v>Kenneth Muusikus, Peep peenema</v>
      </c>
      <c r="C303" s="701">
        <f t="shared" si="11"/>
        <v>17</v>
      </c>
    </row>
    <row r="304" spans="1:39" x14ac:dyDescent="0.2">
      <c r="A304" s="699">
        <v>5</v>
      </c>
      <c r="B304" s="700" t="str">
        <f t="shared" si="10"/>
        <v>Aarne Välja, Janek Tarto</v>
      </c>
      <c r="C304" s="701">
        <f t="shared" si="11"/>
        <v>16</v>
      </c>
    </row>
    <row r="305" spans="1:3" x14ac:dyDescent="0.2">
      <c r="A305" s="699">
        <v>6</v>
      </c>
      <c r="B305" s="700" t="str">
        <f t="shared" si="10"/>
        <v>Henri Mitt, Illar Tõnurist</v>
      </c>
      <c r="C305" s="701">
        <f t="shared" si="11"/>
        <v>15</v>
      </c>
    </row>
    <row r="306" spans="1:3" x14ac:dyDescent="0.2">
      <c r="A306" s="699">
        <v>7</v>
      </c>
      <c r="B306" s="700" t="str">
        <f t="shared" si="10"/>
        <v>Jaan Saar, Liidia Põllu</v>
      </c>
      <c r="C306" s="701">
        <f t="shared" si="11"/>
        <v>14</v>
      </c>
    </row>
    <row r="307" spans="1:3" x14ac:dyDescent="0.2">
      <c r="A307" s="699">
        <v>8</v>
      </c>
      <c r="B307" s="700" t="str">
        <f t="shared" si="10"/>
        <v>Elmo Lageda, Tõnu Piik</v>
      </c>
      <c r="C307" s="701">
        <f t="shared" si="11"/>
        <v>13</v>
      </c>
    </row>
    <row r="308" spans="1:3" x14ac:dyDescent="0.2">
      <c r="A308" s="699">
        <v>9</v>
      </c>
      <c r="B308" s="700" t="str">
        <f t="shared" si="10"/>
        <v>Johannes Neiland, Kaspar Mänd</v>
      </c>
      <c r="C308" s="701">
        <f t="shared" si="11"/>
        <v>12</v>
      </c>
    </row>
    <row r="309" spans="1:3" x14ac:dyDescent="0.2">
      <c r="A309" s="699">
        <v>10</v>
      </c>
      <c r="B309" s="700" t="str">
        <f t="shared" si="10"/>
        <v>Karla Purgats, Lemmit Toomra</v>
      </c>
      <c r="C309" s="701">
        <f t="shared" si="11"/>
        <v>11</v>
      </c>
    </row>
    <row r="310" spans="1:3" x14ac:dyDescent="0.2">
      <c r="A310" s="699">
        <v>11</v>
      </c>
      <c r="B310" s="700" t="str">
        <f t="shared" si="10"/>
        <v>Enn Tokman, Tarmo Bombe</v>
      </c>
      <c r="C310" s="701">
        <f t="shared" si="11"/>
        <v>10</v>
      </c>
    </row>
    <row r="311" spans="1:3" x14ac:dyDescent="0.2">
      <c r="A311" s="699">
        <v>12</v>
      </c>
      <c r="B311" s="700" t="str">
        <f t="shared" si="10"/>
        <v>Kristiin-Marleen Neiland, Ksenija Matšneva</v>
      </c>
      <c r="C311" s="701">
        <f t="shared" si="11"/>
        <v>9</v>
      </c>
    </row>
  </sheetData>
  <conditionalFormatting sqref="C8:C19">
    <cfRule type="expression" dxfId="187" priority="18">
      <formula>IF($C8&gt;$E8,TRUE)</formula>
    </cfRule>
  </conditionalFormatting>
  <conditionalFormatting sqref="E8:E19">
    <cfRule type="expression" dxfId="186" priority="19">
      <formula>IF($C8&lt;$E8,TRUE)</formula>
    </cfRule>
  </conditionalFormatting>
  <conditionalFormatting sqref="K8:K19">
    <cfRule type="expression" dxfId="185" priority="26">
      <formula>IF($K8&gt;$M8,TRUE)</formula>
    </cfRule>
  </conditionalFormatting>
  <conditionalFormatting sqref="M8:M19">
    <cfRule type="expression" dxfId="184" priority="27">
      <formula>IF($K8&lt;$M8,TRUE)</formula>
    </cfRule>
  </conditionalFormatting>
  <conditionalFormatting sqref="O8:O19">
    <cfRule type="expression" dxfId="183" priority="30">
      <formula>IF($O8&gt;$Q8,TRUE)</formula>
    </cfRule>
  </conditionalFormatting>
  <conditionalFormatting sqref="Q8:Q19">
    <cfRule type="expression" dxfId="182" priority="31">
      <formula>IF($O8&lt;$Q8,TRUE)</formula>
    </cfRule>
  </conditionalFormatting>
  <conditionalFormatting sqref="S8:S19">
    <cfRule type="expression" dxfId="181" priority="34">
      <formula>IF($S8&gt;$U8,TRUE)</formula>
    </cfRule>
  </conditionalFormatting>
  <conditionalFormatting sqref="U8:U19">
    <cfRule type="expression" dxfId="180" priority="35">
      <formula>IF($S8&lt;$U8,TRUE)</formula>
    </cfRule>
  </conditionalFormatting>
  <conditionalFormatting sqref="G8:G19">
    <cfRule type="expression" dxfId="179" priority="22">
      <formula>IF($G8&gt;$I8,TRUE)</formula>
    </cfRule>
  </conditionalFormatting>
  <conditionalFormatting sqref="I8:I19">
    <cfRule type="expression" dxfId="178" priority="23">
      <formula>IF($G8&lt;$I8,TRUE)</formula>
    </cfRule>
  </conditionalFormatting>
  <conditionalFormatting sqref="F8:F19">
    <cfRule type="containsText" dxfId="177" priority="9" operator="containsText" text="vaba voor">
      <formula>NOT(ISERROR(SEARCH("vaba voor",F8)))</formula>
    </cfRule>
  </conditionalFormatting>
  <conditionalFormatting sqref="N8:N19">
    <cfRule type="containsText" dxfId="176" priority="7" operator="containsText" text="vaba voor">
      <formula>NOT(ISERROR(SEARCH("vaba voor",N8)))</formula>
    </cfRule>
  </conditionalFormatting>
  <conditionalFormatting sqref="R8:R19">
    <cfRule type="containsText" dxfId="175" priority="10" operator="containsText" text="vaba voor">
      <formula>NOT(ISERROR(SEARCH("vaba voor",R8)))</formula>
    </cfRule>
  </conditionalFormatting>
  <conditionalFormatting sqref="V8:V19">
    <cfRule type="containsText" dxfId="174" priority="6" operator="containsText" text="vaba voor">
      <formula>NOT(ISERROR(SEARCH("vaba voor",V8)))</formula>
    </cfRule>
  </conditionalFormatting>
  <conditionalFormatting sqref="J8:J19">
    <cfRule type="containsText" dxfId="173" priority="8" operator="containsText" text="vaba voor">
      <formula>NOT(ISERROR(SEARCH("vaba voor",J8)))</formula>
    </cfRule>
  </conditionalFormatting>
  <conditionalFormatting sqref="C8:F19">
    <cfRule type="expression" dxfId="172" priority="14">
      <formula>IF(AND(ISNUMBER($C8),$C8=$E8),TRUE)</formula>
    </cfRule>
    <cfRule type="expression" dxfId="171" priority="16">
      <formula>IF($C8&gt;$E8,TRUE)</formula>
    </cfRule>
    <cfRule type="expression" dxfId="170" priority="17">
      <formula>IF($C8&lt;$E8,TRUE)</formula>
    </cfRule>
  </conditionalFormatting>
  <conditionalFormatting sqref="G8:J19">
    <cfRule type="expression" dxfId="169" priority="15">
      <formula>IF(AND(ISNUMBER($G8),$G8=$I8),TRUE)</formula>
    </cfRule>
    <cfRule type="expression" dxfId="168" priority="20">
      <formula>IF($G8&gt;$I8,TRUE)</formula>
    </cfRule>
    <cfRule type="expression" dxfId="167" priority="21">
      <formula>IF($G8&lt;$I8,TRUE)</formula>
    </cfRule>
  </conditionalFormatting>
  <conditionalFormatting sqref="K8:N19">
    <cfRule type="expression" dxfId="166" priority="13">
      <formula>IF(AND(ISNUMBER($K8),$K8=$M8),TRUE)</formula>
    </cfRule>
    <cfRule type="expression" dxfId="165" priority="24">
      <formula>IF($K8&gt;$M8,TRUE)</formula>
    </cfRule>
    <cfRule type="expression" dxfId="164" priority="25">
      <formula>IF($K8&lt;$M8,TRUE)</formula>
    </cfRule>
  </conditionalFormatting>
  <conditionalFormatting sqref="O8:R19">
    <cfRule type="expression" dxfId="163" priority="12">
      <formula>IF(AND(ISNUMBER($O8),$O8=$Q8),TRUE)</formula>
    </cfRule>
    <cfRule type="expression" dxfId="162" priority="28">
      <formula>IF($O8&gt;$Q8,TRUE)</formula>
    </cfRule>
    <cfRule type="expression" dxfId="161" priority="29">
      <formula>IF($O8&lt;$Q8,TRUE)</formula>
    </cfRule>
  </conditionalFormatting>
  <conditionalFormatting sqref="S8:V19">
    <cfRule type="expression" dxfId="160" priority="11">
      <formula>IF(AND(ISNUMBER($S8),$S8=$U8),TRUE)</formula>
    </cfRule>
    <cfRule type="expression" dxfId="159" priority="32">
      <formula>IF($S8&gt;$U8,TRUE)</formula>
    </cfRule>
    <cfRule type="expression" dxfId="158" priority="33">
      <formula>IF($S8&lt;$U8,TRUE)</formula>
    </cfRule>
  </conditionalFormatting>
  <conditionalFormatting sqref="C8:C19 G8:G19 K8:K19 O8:O19 S8:S19">
    <cfRule type="expression" dxfId="157" priority="4">
      <formula>AND(C8=0,E8=13)</formula>
    </cfRule>
  </conditionalFormatting>
  <conditionalFormatting sqref="E8:E19 I8:I19 M8:M19 Q8:Q19 U8:U19">
    <cfRule type="expression" dxfId="156" priority="5">
      <formula>AND(E8=0,C8=13)</formula>
    </cfRule>
  </conditionalFormatting>
  <conditionalFormatting sqref="AF8:AF19 AJ8:AJ19 AL8:AL19">
    <cfRule type="expression" dxfId="155" priority="1">
      <formula>AND(AE8="",COUNTIF(AF8,"*,*")=0)</formula>
    </cfRule>
  </conditionalFormatting>
  <conditionalFormatting sqref="AH8:AH19">
    <cfRule type="expression" dxfId="154" priority="2">
      <formula>AND(AG8="",FIND(",",AH8))</formula>
    </cfRule>
    <cfRule type="expression" dxfId="153" priority="3">
      <formula>AND(AG8="",COUNTIF(AH8,"*,*")=0)</formula>
    </cfRule>
  </conditionalFormatting>
  <conditionalFormatting sqref="A300:A311">
    <cfRule type="duplicateValues" dxfId="152" priority="118"/>
  </conditionalFormatting>
  <conditionalFormatting sqref="A8:A19">
    <cfRule type="duplicateValues" dxfId="151" priority="124"/>
  </conditionalFormatting>
  <conditionalFormatting sqref="B300:B311">
    <cfRule type="expression" dxfId="150" priority="134">
      <formula>A300=3</formula>
    </cfRule>
    <cfRule type="expression" dxfId="149" priority="135">
      <formula>A300=2</formula>
    </cfRule>
    <cfRule type="expression" dxfId="148" priority="136">
      <formula>A300=1</formula>
    </cfRule>
    <cfRule type="containsBlanks" dxfId="147" priority="137">
      <formula>LEN(TRIM(B300))=0</formula>
    </cfRule>
    <cfRule type="duplicateValues" dxfId="146" priority="138"/>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pageSetUpPr fitToPage="1"/>
  </sheetPr>
  <dimension ref="A1:AG327"/>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33.28515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0" width="9.140625" hidden="1" customWidth="1"/>
    <col min="31" max="31" width="18.7109375" hidden="1" customWidth="1"/>
    <col min="32" max="32" width="9.140625" hidden="1" customWidth="1"/>
  </cols>
  <sheetData>
    <row r="1" spans="1:33" x14ac:dyDescent="0.2">
      <c r="A1" s="742" t="s">
        <v>437</v>
      </c>
      <c r="B1" s="652"/>
      <c r="C1" s="653"/>
      <c r="D1" s="652"/>
      <c r="E1" s="652"/>
      <c r="F1" s="410" t="str">
        <f>HYPERLINK("#Kalend!I1","Kalender")</f>
        <v>Kalender</v>
      </c>
      <c r="G1" s="410"/>
      <c r="H1" s="410"/>
      <c r="I1" s="410"/>
      <c r="J1" s="654" t="str">
        <f>HYPERLINK("#V!AB1","Reiting")</f>
        <v>Reiting</v>
      </c>
      <c r="K1" s="655"/>
      <c r="L1" s="656"/>
      <c r="M1" s="657"/>
      <c r="N1" s="657"/>
      <c r="O1" s="652"/>
      <c r="P1" s="652"/>
      <c r="Q1" s="655"/>
      <c r="R1" s="655"/>
      <c r="S1" s="655"/>
      <c r="T1" s="656"/>
      <c r="U1" s="656"/>
      <c r="V1" s="656"/>
      <c r="W1" s="652"/>
      <c r="X1" s="658"/>
      <c r="Y1" s="652"/>
      <c r="Z1" s="652"/>
      <c r="AA1" s="652"/>
      <c r="AB1" s="652"/>
      <c r="AD1" s="417" t="s">
        <v>181</v>
      </c>
      <c r="AE1" s="822"/>
      <c r="AF1" s="822"/>
      <c r="AG1" s="652"/>
    </row>
    <row r="2" spans="1:33" x14ac:dyDescent="0.2">
      <c r="A2" s="659" t="s">
        <v>438</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9"/>
      <c r="AE2" s="659"/>
      <c r="AF2" s="659"/>
      <c r="AG2" s="652"/>
    </row>
    <row r="3" spans="1:33" x14ac:dyDescent="0.2">
      <c r="A3" s="659" t="s">
        <v>439</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823" t="s">
        <v>362</v>
      </c>
      <c r="AF3" s="659"/>
      <c r="AG3" s="652"/>
    </row>
    <row r="4" spans="1:33" x14ac:dyDescent="0.2">
      <c r="A4" s="659" t="s">
        <v>440</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824" t="s">
        <v>479</v>
      </c>
      <c r="AE4" s="825"/>
      <c r="AF4" s="825"/>
      <c r="AG4" s="652"/>
    </row>
    <row r="5" spans="1:33"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824" t="s">
        <v>364</v>
      </c>
      <c r="AE5" s="826" t="s">
        <v>208</v>
      </c>
      <c r="AF5" s="826"/>
      <c r="AG5" s="652"/>
    </row>
    <row r="6" spans="1:33" hidden="1"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824" t="s">
        <v>376</v>
      </c>
      <c r="AE6" s="825"/>
      <c r="AF6" s="825"/>
      <c r="AG6" s="652"/>
    </row>
    <row r="7" spans="1:33" hidden="1"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6"/>
      <c r="AE7" s="829"/>
      <c r="AF7" s="830"/>
      <c r="AG7" s="652"/>
    </row>
    <row r="8" spans="1:33" hidden="1" x14ac:dyDescent="0.2">
      <c r="A8" s="685">
        <v>1</v>
      </c>
      <c r="B8" s="686" t="s">
        <v>222</v>
      </c>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676">
        <f ca="1">SUM(AF8:AF8)</f>
        <v>294</v>
      </c>
      <c r="AE8" s="829" t="str">
        <f t="shared" ref="AE8:AE35" si="0">$B8</f>
        <v>Matti Vinni</v>
      </c>
      <c r="AF8" s="830">
        <f ca="1">IFERROR(INDEX(Reit!$I:$I,MATCH(AE8,Reit!$F:$F,0)),"")</f>
        <v>294</v>
      </c>
      <c r="AG8" s="652"/>
    </row>
    <row r="9" spans="1:33" hidden="1" x14ac:dyDescent="0.2">
      <c r="A9" s="685">
        <v>2</v>
      </c>
      <c r="B9" s="686" t="s">
        <v>232</v>
      </c>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27" si="1">IF(C9&gt;E9,J$3,IF(C9&lt;E9,J$5,IF(ISNUMBER(C9),J$4,0)))+IF(G9&gt;I9,J$3,IF(G9&lt;I9,J$5,IF(ISNUMBER(G9),J$4,0)))+IF(K9&gt;M9,J$3,IF(K9&lt;M9,J$5,IF(ISNUMBER(K9),J$4,0)))+IF(O9&gt;Q9,J$3,IF(O9&lt;Q9,J$5,IF(ISNUMBER(O9),J$4,0)))+IF(S9&gt;U9,J$3,IF(S9&lt;U9,J$5,IF(ISNUMBER(S9),J$4,0)))</f>
        <v>0</v>
      </c>
      <c r="X9" s="692"/>
      <c r="Y9" s="687">
        <f t="shared" ref="Y9:Y27" si="2">C9+G9+K9+O9+S9</f>
        <v>0</v>
      </c>
      <c r="Z9" s="688" t="s">
        <v>377</v>
      </c>
      <c r="AA9" s="693">
        <f t="shared" ref="AA9:AA27" si="3">E9+I9+M9+Q9+U9</f>
        <v>0</v>
      </c>
      <c r="AB9" s="694">
        <f t="shared" ref="AB9:AB27" si="4">Y9-AA9</f>
        <v>0</v>
      </c>
      <c r="AC9" s="695"/>
      <c r="AD9" s="676">
        <f t="shared" ref="AD9:AD29" ca="1" si="5">SUM(AF9:AF9)</f>
        <v>168</v>
      </c>
      <c r="AE9" s="829" t="str">
        <f t="shared" si="0"/>
        <v>Andrei Grintšak</v>
      </c>
      <c r="AF9" s="830">
        <f ca="1">IFERROR(INDEX(Reit!$I:$I,MATCH(AE9,Reit!$F:$F,0)),"")</f>
        <v>168</v>
      </c>
      <c r="AG9" s="652"/>
    </row>
    <row r="10" spans="1:33" hidden="1" x14ac:dyDescent="0.2">
      <c r="A10" s="685">
        <v>3</v>
      </c>
      <c r="B10" s="686" t="s">
        <v>229</v>
      </c>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1"/>
        <v>0</v>
      </c>
      <c r="X10" s="692"/>
      <c r="Y10" s="687">
        <f t="shared" si="2"/>
        <v>0</v>
      </c>
      <c r="Z10" s="688" t="s">
        <v>377</v>
      </c>
      <c r="AA10" s="693">
        <f t="shared" si="3"/>
        <v>0</v>
      </c>
      <c r="AB10" s="694">
        <f t="shared" si="4"/>
        <v>0</v>
      </c>
      <c r="AC10" s="695"/>
      <c r="AD10" s="676">
        <f t="shared" ca="1" si="5"/>
        <v>224</v>
      </c>
      <c r="AE10" s="829" t="str">
        <f t="shared" si="0"/>
        <v>Janek Tarto</v>
      </c>
      <c r="AF10" s="830">
        <f ca="1">IFERROR(INDEX(Reit!$I:$I,MATCH(AE10,Reit!$F:$F,0)),"")</f>
        <v>224</v>
      </c>
      <c r="AG10" s="652"/>
    </row>
    <row r="11" spans="1:33" hidden="1" x14ac:dyDescent="0.2">
      <c r="A11" s="685">
        <v>4</v>
      </c>
      <c r="B11" s="686" t="s">
        <v>239</v>
      </c>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1"/>
        <v>0</v>
      </c>
      <c r="X11" s="692"/>
      <c r="Y11" s="687">
        <f t="shared" si="2"/>
        <v>0</v>
      </c>
      <c r="Z11" s="688" t="s">
        <v>377</v>
      </c>
      <c r="AA11" s="693">
        <f t="shared" si="3"/>
        <v>0</v>
      </c>
      <c r="AB11" s="694">
        <f t="shared" si="4"/>
        <v>0</v>
      </c>
      <c r="AC11" s="695"/>
      <c r="AD11" s="676">
        <f t="shared" ca="1" si="5"/>
        <v>116</v>
      </c>
      <c r="AE11" s="829" t="str">
        <f t="shared" si="0"/>
        <v>Henri Mitt</v>
      </c>
      <c r="AF11" s="830">
        <f ca="1">IFERROR(INDEX(Reit!$I:$I,MATCH(AE11,Reit!$F:$F,0)),"")</f>
        <v>116</v>
      </c>
      <c r="AG11" s="652"/>
    </row>
    <row r="12" spans="1:33" hidden="1" x14ac:dyDescent="0.2">
      <c r="A12" s="685">
        <v>5</v>
      </c>
      <c r="B12" s="686" t="s">
        <v>224</v>
      </c>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1"/>
        <v>0</v>
      </c>
      <c r="X12" s="692"/>
      <c r="Y12" s="687">
        <f t="shared" si="2"/>
        <v>0</v>
      </c>
      <c r="Z12" s="688" t="s">
        <v>377</v>
      </c>
      <c r="AA12" s="693">
        <f t="shared" si="3"/>
        <v>0</v>
      </c>
      <c r="AB12" s="694">
        <f t="shared" si="4"/>
        <v>0</v>
      </c>
      <c r="AC12" s="695"/>
      <c r="AD12" s="676">
        <f t="shared" ca="1" si="5"/>
        <v>258</v>
      </c>
      <c r="AE12" s="829" t="str">
        <f t="shared" si="0"/>
        <v>Elmo Lageda</v>
      </c>
      <c r="AF12" s="830">
        <f ca="1">IFERROR(INDEX(Reit!$I:$I,MATCH(AE12,Reit!$F:$F,0)),"")</f>
        <v>258</v>
      </c>
      <c r="AG12" s="652"/>
    </row>
    <row r="13" spans="1:33" hidden="1" x14ac:dyDescent="0.2">
      <c r="A13" s="685">
        <v>6</v>
      </c>
      <c r="B13" s="686" t="s">
        <v>255</v>
      </c>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1"/>
        <v>0</v>
      </c>
      <c r="X13" s="692"/>
      <c r="Y13" s="687">
        <f t="shared" si="2"/>
        <v>0</v>
      </c>
      <c r="Z13" s="688" t="s">
        <v>377</v>
      </c>
      <c r="AA13" s="693">
        <f t="shared" si="3"/>
        <v>0</v>
      </c>
      <c r="AB13" s="694">
        <f t="shared" si="4"/>
        <v>0</v>
      </c>
      <c r="AC13" s="695"/>
      <c r="AD13" s="676">
        <f t="shared" ca="1" si="5"/>
        <v>51</v>
      </c>
      <c r="AE13" s="829" t="str">
        <f t="shared" si="0"/>
        <v>Jaan Saar</v>
      </c>
      <c r="AF13" s="830">
        <f ca="1">IFERROR(INDEX(Reit!$I:$I,MATCH(AE13,Reit!$F:$F,0)),"")</f>
        <v>51</v>
      </c>
      <c r="AG13" s="652"/>
    </row>
    <row r="14" spans="1:33" hidden="1" x14ac:dyDescent="0.2">
      <c r="A14" s="685">
        <v>7</v>
      </c>
      <c r="B14" s="696" t="s">
        <v>20</v>
      </c>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1"/>
        <v>0</v>
      </c>
      <c r="X14" s="692"/>
      <c r="Y14" s="687">
        <f t="shared" si="2"/>
        <v>0</v>
      </c>
      <c r="Z14" s="688" t="s">
        <v>377</v>
      </c>
      <c r="AA14" s="693">
        <f t="shared" si="3"/>
        <v>0</v>
      </c>
      <c r="AB14" s="694">
        <f t="shared" si="4"/>
        <v>0</v>
      </c>
      <c r="AC14" s="695"/>
      <c r="AD14" s="676">
        <f t="shared" ca="1" si="5"/>
        <v>364</v>
      </c>
      <c r="AE14" s="829" t="str">
        <f t="shared" si="0"/>
        <v>Ivar Viljaste</v>
      </c>
      <c r="AF14" s="830">
        <f ca="1">IFERROR(INDEX(Reit!$I:$I,MATCH(AE14,Reit!$F:$F,0)),"")</f>
        <v>364</v>
      </c>
      <c r="AG14" s="652"/>
    </row>
    <row r="15" spans="1:33" hidden="1" x14ac:dyDescent="0.2">
      <c r="A15" s="685">
        <v>8</v>
      </c>
      <c r="B15" s="696" t="s">
        <v>220</v>
      </c>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1"/>
        <v>0</v>
      </c>
      <c r="X15" s="692"/>
      <c r="Y15" s="687">
        <f t="shared" si="2"/>
        <v>0</v>
      </c>
      <c r="Z15" s="688" t="s">
        <v>377</v>
      </c>
      <c r="AA15" s="693">
        <f t="shared" si="3"/>
        <v>0</v>
      </c>
      <c r="AB15" s="694">
        <f t="shared" si="4"/>
        <v>0</v>
      </c>
      <c r="AC15" s="695"/>
      <c r="AD15" s="676">
        <f t="shared" ca="1" si="5"/>
        <v>330</v>
      </c>
      <c r="AE15" s="829" t="str">
        <f t="shared" si="0"/>
        <v>Oskar Sepp</v>
      </c>
      <c r="AF15" s="830">
        <f ca="1">IFERROR(INDEX(Reit!$I:$I,MATCH(AE15,Reit!$F:$F,0)),"")</f>
        <v>330</v>
      </c>
      <c r="AG15" s="652"/>
    </row>
    <row r="16" spans="1:33" hidden="1" x14ac:dyDescent="0.2">
      <c r="A16" s="685">
        <v>9</v>
      </c>
      <c r="B16" s="686" t="s">
        <v>262</v>
      </c>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1"/>
        <v>0</v>
      </c>
      <c r="X16" s="692"/>
      <c r="Y16" s="687">
        <f t="shared" si="2"/>
        <v>0</v>
      </c>
      <c r="Z16" s="688" t="s">
        <v>377</v>
      </c>
      <c r="AA16" s="693">
        <f t="shared" si="3"/>
        <v>0</v>
      </c>
      <c r="AB16" s="694">
        <f t="shared" si="4"/>
        <v>0</v>
      </c>
      <c r="AC16" s="695"/>
      <c r="AD16" s="676">
        <f t="shared" ca="1" si="5"/>
        <v>29</v>
      </c>
      <c r="AE16" s="829" t="str">
        <f t="shared" si="0"/>
        <v>Tarmo Bombe</v>
      </c>
      <c r="AF16" s="830">
        <f ca="1">IFERROR(INDEX(Reit!$I:$I,MATCH(AE16,Reit!$F:$F,0)),"")</f>
        <v>29</v>
      </c>
      <c r="AG16" s="652"/>
    </row>
    <row r="17" spans="1:33" hidden="1" x14ac:dyDescent="0.2">
      <c r="A17" s="685">
        <v>10</v>
      </c>
      <c r="B17" s="686" t="s">
        <v>230</v>
      </c>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1"/>
        <v>0</v>
      </c>
      <c r="X17" s="692"/>
      <c r="Y17" s="687">
        <f t="shared" si="2"/>
        <v>0</v>
      </c>
      <c r="Z17" s="688" t="s">
        <v>377</v>
      </c>
      <c r="AA17" s="693">
        <f t="shared" si="3"/>
        <v>0</v>
      </c>
      <c r="AB17" s="694">
        <f t="shared" si="4"/>
        <v>0</v>
      </c>
      <c r="AC17" s="695"/>
      <c r="AD17" s="676">
        <f t="shared" ca="1" si="5"/>
        <v>196</v>
      </c>
      <c r="AE17" s="829" t="str">
        <f t="shared" si="0"/>
        <v>Aarne Välja</v>
      </c>
      <c r="AF17" s="830">
        <f ca="1">IFERROR(INDEX(Reit!$I:$I,MATCH(AE17,Reit!$F:$F,0)),"")</f>
        <v>196</v>
      </c>
      <c r="AG17" s="652"/>
    </row>
    <row r="18" spans="1:33" hidden="1" x14ac:dyDescent="0.2">
      <c r="A18" s="685">
        <v>11</v>
      </c>
      <c r="B18" s="696" t="s">
        <v>233</v>
      </c>
      <c r="C18" s="687"/>
      <c r="D18" s="688" t="s">
        <v>377</v>
      </c>
      <c r="E18" s="689"/>
      <c r="F18" s="690"/>
      <c r="G18" s="687"/>
      <c r="H18" s="688" t="s">
        <v>377</v>
      </c>
      <c r="I18" s="689"/>
      <c r="J18" s="690"/>
      <c r="K18" s="687"/>
      <c r="L18" s="688" t="s">
        <v>377</v>
      </c>
      <c r="M18" s="689"/>
      <c r="N18" s="690"/>
      <c r="O18" s="687"/>
      <c r="P18" s="688" t="s">
        <v>377</v>
      </c>
      <c r="Q18" s="689"/>
      <c r="R18" s="690"/>
      <c r="S18" s="687"/>
      <c r="T18" s="688" t="s">
        <v>377</v>
      </c>
      <c r="U18" s="689"/>
      <c r="V18" s="690"/>
      <c r="W18" s="691">
        <f t="shared" si="1"/>
        <v>0</v>
      </c>
      <c r="X18" s="692"/>
      <c r="Y18" s="687">
        <f t="shared" si="2"/>
        <v>0</v>
      </c>
      <c r="Z18" s="688" t="s">
        <v>377</v>
      </c>
      <c r="AA18" s="693">
        <f t="shared" si="3"/>
        <v>0</v>
      </c>
      <c r="AB18" s="694">
        <f t="shared" si="4"/>
        <v>0</v>
      </c>
      <c r="AC18" s="695"/>
      <c r="AD18" s="676">
        <f t="shared" ca="1" si="5"/>
        <v>160</v>
      </c>
      <c r="AE18" s="829" t="str">
        <f t="shared" si="0"/>
        <v>Svetlana Veski</v>
      </c>
      <c r="AF18" s="830">
        <f ca="1">IFERROR(INDEX(Reit!$I:$I,MATCH(AE18,Reit!$F:$F,0)),"")</f>
        <v>160</v>
      </c>
      <c r="AG18" s="652"/>
    </row>
    <row r="19" spans="1:33" hidden="1" x14ac:dyDescent="0.2">
      <c r="A19" s="685">
        <v>12</v>
      </c>
      <c r="B19" s="696" t="s">
        <v>223</v>
      </c>
      <c r="C19" s="687"/>
      <c r="D19" s="688" t="s">
        <v>377</v>
      </c>
      <c r="E19" s="689"/>
      <c r="F19" s="690"/>
      <c r="G19" s="687"/>
      <c r="H19" s="688" t="s">
        <v>377</v>
      </c>
      <c r="I19" s="689"/>
      <c r="J19" s="690"/>
      <c r="K19" s="687"/>
      <c r="L19" s="688" t="s">
        <v>377</v>
      </c>
      <c r="M19" s="689"/>
      <c r="N19" s="690"/>
      <c r="O19" s="687"/>
      <c r="P19" s="688" t="s">
        <v>377</v>
      </c>
      <c r="Q19" s="689"/>
      <c r="R19" s="690"/>
      <c r="S19" s="687"/>
      <c r="T19" s="688" t="s">
        <v>377</v>
      </c>
      <c r="U19" s="689"/>
      <c r="V19" s="690"/>
      <c r="W19" s="691">
        <f t="shared" si="1"/>
        <v>0</v>
      </c>
      <c r="X19" s="692"/>
      <c r="Y19" s="687">
        <f t="shared" si="2"/>
        <v>0</v>
      </c>
      <c r="Z19" s="688" t="s">
        <v>377</v>
      </c>
      <c r="AA19" s="693">
        <f t="shared" si="3"/>
        <v>0</v>
      </c>
      <c r="AB19" s="694">
        <f t="shared" si="4"/>
        <v>0</v>
      </c>
      <c r="AC19" s="695"/>
      <c r="AD19" s="676">
        <f t="shared" ca="1" si="5"/>
        <v>258</v>
      </c>
      <c r="AE19" s="829" t="str">
        <f t="shared" si="0"/>
        <v>Oleg Rõndenkov</v>
      </c>
      <c r="AF19" s="830">
        <f ca="1">IFERROR(INDEX(Reit!$I:$I,MATCH(AE19,Reit!$F:$F,0)),"")</f>
        <v>258</v>
      </c>
      <c r="AG19" s="652"/>
    </row>
    <row r="20" spans="1:33" hidden="1" x14ac:dyDescent="0.2">
      <c r="A20" s="685">
        <v>13</v>
      </c>
      <c r="B20" s="686" t="s">
        <v>227</v>
      </c>
      <c r="C20" s="687"/>
      <c r="D20" s="688" t="s">
        <v>377</v>
      </c>
      <c r="E20" s="689"/>
      <c r="F20" s="690"/>
      <c r="G20" s="687"/>
      <c r="H20" s="688" t="s">
        <v>377</v>
      </c>
      <c r="I20" s="689"/>
      <c r="J20" s="690"/>
      <c r="K20" s="687"/>
      <c r="L20" s="688" t="s">
        <v>377</v>
      </c>
      <c r="M20" s="689"/>
      <c r="N20" s="690"/>
      <c r="O20" s="687"/>
      <c r="P20" s="688" t="s">
        <v>377</v>
      </c>
      <c r="Q20" s="689"/>
      <c r="R20" s="690"/>
      <c r="S20" s="687"/>
      <c r="T20" s="688" t="s">
        <v>377</v>
      </c>
      <c r="U20" s="689"/>
      <c r="V20" s="690"/>
      <c r="W20" s="691">
        <f t="shared" si="1"/>
        <v>0</v>
      </c>
      <c r="X20" s="692"/>
      <c r="Y20" s="687">
        <f t="shared" si="2"/>
        <v>0</v>
      </c>
      <c r="Z20" s="688" t="s">
        <v>377</v>
      </c>
      <c r="AA20" s="693">
        <f t="shared" si="3"/>
        <v>0</v>
      </c>
      <c r="AB20" s="694">
        <f t="shared" si="4"/>
        <v>0</v>
      </c>
      <c r="AC20" s="695"/>
      <c r="AD20" s="676">
        <f t="shared" ca="1" si="5"/>
        <v>234</v>
      </c>
      <c r="AE20" s="829" t="str">
        <f t="shared" si="0"/>
        <v>Andres Veski</v>
      </c>
      <c r="AF20" s="830">
        <f ca="1">IFERROR(INDEX(Reit!$I:$I,MATCH(AE20,Reit!$F:$F,0)),"")</f>
        <v>234</v>
      </c>
      <c r="AG20" s="652"/>
    </row>
    <row r="21" spans="1:33" hidden="1" x14ac:dyDescent="0.2">
      <c r="A21" s="685">
        <v>14</v>
      </c>
      <c r="B21" s="696" t="s">
        <v>270</v>
      </c>
      <c r="C21" s="687"/>
      <c r="D21" s="688" t="s">
        <v>377</v>
      </c>
      <c r="E21" s="689"/>
      <c r="F21" s="690"/>
      <c r="G21" s="687"/>
      <c r="H21" s="688" t="s">
        <v>377</v>
      </c>
      <c r="I21" s="689"/>
      <c r="J21" s="690"/>
      <c r="K21" s="687"/>
      <c r="L21" s="688" t="s">
        <v>377</v>
      </c>
      <c r="M21" s="689"/>
      <c r="N21" s="690"/>
      <c r="O21" s="687"/>
      <c r="P21" s="688" t="s">
        <v>377</v>
      </c>
      <c r="Q21" s="689"/>
      <c r="R21" s="690"/>
      <c r="S21" s="687"/>
      <c r="T21" s="688" t="s">
        <v>377</v>
      </c>
      <c r="U21" s="689"/>
      <c r="V21" s="690"/>
      <c r="W21" s="691">
        <f t="shared" si="1"/>
        <v>0</v>
      </c>
      <c r="X21" s="692"/>
      <c r="Y21" s="687">
        <f t="shared" si="2"/>
        <v>0</v>
      </c>
      <c r="Z21" s="688" t="s">
        <v>377</v>
      </c>
      <c r="AA21" s="693">
        <f t="shared" si="3"/>
        <v>0</v>
      </c>
      <c r="AB21" s="694">
        <f t="shared" si="4"/>
        <v>0</v>
      </c>
      <c r="AC21" s="695"/>
      <c r="AD21" s="676">
        <f t="shared" ca="1" si="5"/>
        <v>11</v>
      </c>
      <c r="AE21" s="829" t="str">
        <f t="shared" si="0"/>
        <v>Vello Vasser</v>
      </c>
      <c r="AF21" s="830">
        <f ca="1">IFERROR(INDEX(Reit!$I:$I,MATCH(AE21,Reit!$F:$F,0)),"")</f>
        <v>11</v>
      </c>
      <c r="AG21" s="652"/>
    </row>
    <row r="22" spans="1:33" hidden="1" x14ac:dyDescent="0.2">
      <c r="A22" s="685">
        <v>15</v>
      </c>
      <c r="B22" s="696" t="s">
        <v>241</v>
      </c>
      <c r="C22" s="687"/>
      <c r="D22" s="688" t="s">
        <v>377</v>
      </c>
      <c r="E22" s="689"/>
      <c r="F22" s="690"/>
      <c r="G22" s="687"/>
      <c r="H22" s="688" t="s">
        <v>377</v>
      </c>
      <c r="I22" s="689"/>
      <c r="J22" s="690"/>
      <c r="K22" s="687"/>
      <c r="L22" s="688" t="s">
        <v>377</v>
      </c>
      <c r="M22" s="689"/>
      <c r="N22" s="690"/>
      <c r="O22" s="687"/>
      <c r="P22" s="688" t="s">
        <v>377</v>
      </c>
      <c r="Q22" s="689"/>
      <c r="R22" s="690"/>
      <c r="S22" s="687"/>
      <c r="T22" s="688" t="s">
        <v>377</v>
      </c>
      <c r="U22" s="689"/>
      <c r="V22" s="690"/>
      <c r="W22" s="691">
        <f t="shared" si="1"/>
        <v>0</v>
      </c>
      <c r="X22" s="692"/>
      <c r="Y22" s="687">
        <f t="shared" si="2"/>
        <v>0</v>
      </c>
      <c r="Z22" s="688" t="s">
        <v>377</v>
      </c>
      <c r="AA22" s="693">
        <f t="shared" si="3"/>
        <v>0</v>
      </c>
      <c r="AB22" s="694">
        <f t="shared" si="4"/>
        <v>0</v>
      </c>
      <c r="AC22" s="695"/>
      <c r="AD22" s="676">
        <f t="shared" ca="1" si="5"/>
        <v>95</v>
      </c>
      <c r="AE22" s="829" t="str">
        <f t="shared" si="0"/>
        <v>Urmas Randlaine</v>
      </c>
      <c r="AF22" s="830">
        <f ca="1">IFERROR(INDEX(Reit!$I:$I,MATCH(AE22,Reit!$F:$F,0)),"")</f>
        <v>95</v>
      </c>
      <c r="AG22" s="652"/>
    </row>
    <row r="23" spans="1:33" hidden="1" x14ac:dyDescent="0.2">
      <c r="A23" s="685">
        <v>16</v>
      </c>
      <c r="B23" s="686" t="s">
        <v>221</v>
      </c>
      <c r="C23" s="687"/>
      <c r="D23" s="688" t="s">
        <v>377</v>
      </c>
      <c r="E23" s="689"/>
      <c r="F23" s="690"/>
      <c r="G23" s="687"/>
      <c r="H23" s="688" t="s">
        <v>377</v>
      </c>
      <c r="I23" s="689"/>
      <c r="J23" s="690"/>
      <c r="K23" s="687"/>
      <c r="L23" s="688" t="s">
        <v>377</v>
      </c>
      <c r="M23" s="689"/>
      <c r="N23" s="690"/>
      <c r="O23" s="687"/>
      <c r="P23" s="688" t="s">
        <v>377</v>
      </c>
      <c r="Q23" s="689"/>
      <c r="R23" s="690"/>
      <c r="S23" s="687"/>
      <c r="T23" s="688" t="s">
        <v>377</v>
      </c>
      <c r="U23" s="689"/>
      <c r="V23" s="690"/>
      <c r="W23" s="691">
        <f t="shared" si="1"/>
        <v>0</v>
      </c>
      <c r="X23" s="692"/>
      <c r="Y23" s="687">
        <f t="shared" si="2"/>
        <v>0</v>
      </c>
      <c r="Z23" s="688" t="s">
        <v>377</v>
      </c>
      <c r="AA23" s="693">
        <f t="shared" si="3"/>
        <v>0</v>
      </c>
      <c r="AB23" s="694">
        <f t="shared" si="4"/>
        <v>0</v>
      </c>
      <c r="AC23" s="695"/>
      <c r="AD23" s="676">
        <f t="shared" ca="1" si="5"/>
        <v>310</v>
      </c>
      <c r="AE23" s="829" t="str">
        <f t="shared" si="0"/>
        <v>Jaan Sepp</v>
      </c>
      <c r="AF23" s="830">
        <f ca="1">IFERROR(INDEX(Reit!$I:$I,MATCH(AE23,Reit!$F:$F,0)),"")</f>
        <v>310</v>
      </c>
      <c r="AG23" s="652"/>
    </row>
    <row r="24" spans="1:33" hidden="1" x14ac:dyDescent="0.2">
      <c r="A24" s="685">
        <v>17</v>
      </c>
      <c r="B24" s="696" t="s">
        <v>225</v>
      </c>
      <c r="C24" s="687"/>
      <c r="D24" s="688" t="s">
        <v>377</v>
      </c>
      <c r="E24" s="689"/>
      <c r="F24" s="690"/>
      <c r="G24" s="687"/>
      <c r="H24" s="688" t="s">
        <v>377</v>
      </c>
      <c r="I24" s="689"/>
      <c r="J24" s="690"/>
      <c r="K24" s="687"/>
      <c r="L24" s="688" t="s">
        <v>377</v>
      </c>
      <c r="M24" s="689"/>
      <c r="N24" s="690"/>
      <c r="O24" s="687"/>
      <c r="P24" s="688" t="s">
        <v>377</v>
      </c>
      <c r="Q24" s="689"/>
      <c r="R24" s="690"/>
      <c r="S24" s="687"/>
      <c r="T24" s="688" t="s">
        <v>377</v>
      </c>
      <c r="U24" s="689"/>
      <c r="V24" s="690"/>
      <c r="W24" s="691">
        <f t="shared" si="1"/>
        <v>0</v>
      </c>
      <c r="X24" s="692"/>
      <c r="Y24" s="687">
        <f t="shared" si="2"/>
        <v>0</v>
      </c>
      <c r="Z24" s="688" t="s">
        <v>377</v>
      </c>
      <c r="AA24" s="693">
        <f t="shared" si="3"/>
        <v>0</v>
      </c>
      <c r="AB24" s="694">
        <f t="shared" si="4"/>
        <v>0</v>
      </c>
      <c r="AC24" s="695"/>
      <c r="AD24" s="676">
        <f t="shared" ca="1" si="5"/>
        <v>258</v>
      </c>
      <c r="AE24" s="829" t="str">
        <f t="shared" si="0"/>
        <v>Kenneth Muusikus</v>
      </c>
      <c r="AF24" s="830">
        <f ca="1">IFERROR(INDEX(Reit!$I:$I,MATCH(AE24,Reit!$F:$F,0)),"")</f>
        <v>258</v>
      </c>
      <c r="AG24" s="652"/>
    </row>
    <row r="25" spans="1:33" hidden="1" x14ac:dyDescent="0.2">
      <c r="A25" s="685">
        <v>18</v>
      </c>
      <c r="B25" s="696" t="s">
        <v>242</v>
      </c>
      <c r="C25" s="687"/>
      <c r="D25" s="688" t="s">
        <v>377</v>
      </c>
      <c r="E25" s="689"/>
      <c r="F25" s="690"/>
      <c r="G25" s="687"/>
      <c r="H25" s="688" t="s">
        <v>377</v>
      </c>
      <c r="I25" s="689"/>
      <c r="J25" s="690"/>
      <c r="K25" s="687"/>
      <c r="L25" s="688" t="s">
        <v>377</v>
      </c>
      <c r="M25" s="689"/>
      <c r="N25" s="690"/>
      <c r="O25" s="687"/>
      <c r="P25" s="688" t="s">
        <v>377</v>
      </c>
      <c r="Q25" s="689"/>
      <c r="R25" s="690"/>
      <c r="S25" s="687"/>
      <c r="T25" s="688" t="s">
        <v>377</v>
      </c>
      <c r="U25" s="689"/>
      <c r="V25" s="690"/>
      <c r="W25" s="691">
        <f t="shared" si="1"/>
        <v>0</v>
      </c>
      <c r="X25" s="692"/>
      <c r="Y25" s="687">
        <f t="shared" si="2"/>
        <v>0</v>
      </c>
      <c r="Z25" s="688" t="s">
        <v>377</v>
      </c>
      <c r="AA25" s="693">
        <f t="shared" si="3"/>
        <v>0</v>
      </c>
      <c r="AB25" s="694">
        <f t="shared" si="4"/>
        <v>0</v>
      </c>
      <c r="AC25" s="695"/>
      <c r="AD25" s="676">
        <f t="shared" ca="1" si="5"/>
        <v>89</v>
      </c>
      <c r="AE25" s="829" t="str">
        <f t="shared" si="0"/>
        <v>Oksana Rõndenkova</v>
      </c>
      <c r="AF25" s="830">
        <f ca="1">IFERROR(INDEX(Reit!$I:$I,MATCH(AE25,Reit!$F:$F,0)),"")</f>
        <v>89</v>
      </c>
      <c r="AG25" s="652"/>
    </row>
    <row r="26" spans="1:33" hidden="1" x14ac:dyDescent="0.2">
      <c r="A26" s="685">
        <v>19</v>
      </c>
      <c r="B26" s="686" t="s">
        <v>237</v>
      </c>
      <c r="C26" s="687"/>
      <c r="D26" s="688" t="s">
        <v>377</v>
      </c>
      <c r="E26" s="689"/>
      <c r="F26" s="690"/>
      <c r="G26" s="687"/>
      <c r="H26" s="688" t="s">
        <v>377</v>
      </c>
      <c r="I26" s="689"/>
      <c r="J26" s="690"/>
      <c r="K26" s="687"/>
      <c r="L26" s="688" t="s">
        <v>377</v>
      </c>
      <c r="M26" s="689"/>
      <c r="N26" s="690"/>
      <c r="O26" s="687"/>
      <c r="P26" s="688" t="s">
        <v>377</v>
      </c>
      <c r="Q26" s="689"/>
      <c r="R26" s="690"/>
      <c r="S26" s="687"/>
      <c r="T26" s="688" t="s">
        <v>377</v>
      </c>
      <c r="U26" s="689"/>
      <c r="V26" s="690"/>
      <c r="W26" s="691">
        <f t="shared" si="1"/>
        <v>0</v>
      </c>
      <c r="X26" s="692"/>
      <c r="Y26" s="687">
        <f t="shared" si="2"/>
        <v>0</v>
      </c>
      <c r="Z26" s="688" t="s">
        <v>377</v>
      </c>
      <c r="AA26" s="693">
        <f t="shared" si="3"/>
        <v>0</v>
      </c>
      <c r="AB26" s="694">
        <f t="shared" si="4"/>
        <v>0</v>
      </c>
      <c r="AC26" s="695"/>
      <c r="AD26" s="676">
        <f t="shared" ca="1" si="5"/>
        <v>124</v>
      </c>
      <c r="AE26" s="829" t="str">
        <f t="shared" si="0"/>
        <v>Vladimir Ogneštšikov</v>
      </c>
      <c r="AF26" s="830">
        <f ca="1">IFERROR(INDEX(Reit!$I:$I,MATCH(AE26,Reit!$F:$F,0)),"")</f>
        <v>124</v>
      </c>
      <c r="AG26" s="652"/>
    </row>
    <row r="27" spans="1:33" hidden="1" x14ac:dyDescent="0.2">
      <c r="A27" s="685">
        <v>20</v>
      </c>
      <c r="B27" s="696" t="s">
        <v>258</v>
      </c>
      <c r="C27" s="687"/>
      <c r="D27" s="688" t="s">
        <v>377</v>
      </c>
      <c r="E27" s="689"/>
      <c r="F27" s="690"/>
      <c r="G27" s="687"/>
      <c r="H27" s="688" t="s">
        <v>377</v>
      </c>
      <c r="I27" s="689"/>
      <c r="J27" s="690"/>
      <c r="K27" s="687"/>
      <c r="L27" s="688" t="s">
        <v>377</v>
      </c>
      <c r="M27" s="689"/>
      <c r="N27" s="690"/>
      <c r="O27" s="687"/>
      <c r="P27" s="688" t="s">
        <v>377</v>
      </c>
      <c r="Q27" s="689"/>
      <c r="R27" s="690"/>
      <c r="S27" s="687"/>
      <c r="T27" s="688" t="s">
        <v>377</v>
      </c>
      <c r="U27" s="689"/>
      <c r="V27" s="690"/>
      <c r="W27" s="691">
        <f t="shared" si="1"/>
        <v>0</v>
      </c>
      <c r="X27" s="692"/>
      <c r="Y27" s="687">
        <f t="shared" si="2"/>
        <v>0</v>
      </c>
      <c r="Z27" s="688" t="s">
        <v>377</v>
      </c>
      <c r="AA27" s="693">
        <f t="shared" si="3"/>
        <v>0</v>
      </c>
      <c r="AB27" s="694">
        <f t="shared" si="4"/>
        <v>0</v>
      </c>
      <c r="AC27" s="695"/>
      <c r="AD27" s="676">
        <f t="shared" ca="1" si="5"/>
        <v>41</v>
      </c>
      <c r="AE27" s="829" t="str">
        <f t="shared" si="0"/>
        <v>Meelis Luud</v>
      </c>
      <c r="AF27" s="830">
        <f ca="1">IFERROR(INDEX(Reit!$I:$I,MATCH(AE27,Reit!$F:$F,0)),"")</f>
        <v>41</v>
      </c>
      <c r="AG27" s="652"/>
    </row>
    <row r="28" spans="1:33" hidden="1" x14ac:dyDescent="0.2">
      <c r="A28" s="685">
        <v>21</v>
      </c>
      <c r="B28" s="686" t="s">
        <v>228</v>
      </c>
      <c r="C28" s="687"/>
      <c r="D28" s="688" t="s">
        <v>377</v>
      </c>
      <c r="E28" s="689"/>
      <c r="F28" s="690"/>
      <c r="G28" s="687"/>
      <c r="H28" s="688" t="s">
        <v>377</v>
      </c>
      <c r="I28" s="689"/>
      <c r="J28" s="690"/>
      <c r="K28" s="687"/>
      <c r="L28" s="688" t="s">
        <v>377</v>
      </c>
      <c r="M28" s="689"/>
      <c r="N28" s="690"/>
      <c r="O28" s="687"/>
      <c r="P28" s="688" t="s">
        <v>377</v>
      </c>
      <c r="Q28" s="689"/>
      <c r="R28" s="690"/>
      <c r="S28" s="687"/>
      <c r="T28" s="688" t="s">
        <v>377</v>
      </c>
      <c r="U28" s="689"/>
      <c r="V28" s="690"/>
      <c r="W28" s="691">
        <f>IF(C28&gt;E28,J$3,IF(C28&lt;E28,J$5,IF(ISNUMBER(C28),J$4,0)))+IF(G28&gt;I28,J$3,IF(G28&lt;I28,J$5,IF(ISNUMBER(G28),J$4,0)))+IF(K28&gt;M28,J$3,IF(K28&lt;M28,J$5,IF(ISNUMBER(K28),J$4,0)))+IF(O28&gt;Q28,J$3,IF(O28&lt;Q28,J$5,IF(ISNUMBER(O28),J$4,0)))+IF(S28&gt;U28,J$3,IF(S28&lt;U28,J$5,IF(ISNUMBER(S28),J$4,0)))</f>
        <v>0</v>
      </c>
      <c r="X28" s="692"/>
      <c r="Y28" s="687">
        <f>C28+G28+K28+O28+S28</f>
        <v>0</v>
      </c>
      <c r="Z28" s="688" t="s">
        <v>377</v>
      </c>
      <c r="AA28" s="693">
        <f>E28+I28+M28+Q28+U28</f>
        <v>0</v>
      </c>
      <c r="AB28" s="694">
        <f>Y28-AA28</f>
        <v>0</v>
      </c>
      <c r="AC28" s="695"/>
      <c r="AD28" s="676">
        <f t="shared" ca="1" si="5"/>
        <v>228</v>
      </c>
      <c r="AE28" s="829" t="str">
        <f t="shared" si="0"/>
        <v>Mait Metsla</v>
      </c>
      <c r="AF28" s="830">
        <f ca="1">IFERROR(INDEX(Reit!$I:$I,MATCH(AE28,Reit!$F:$F,0)),"")</f>
        <v>228</v>
      </c>
      <c r="AG28" s="652"/>
    </row>
    <row r="29" spans="1:33" hidden="1" x14ac:dyDescent="0.2">
      <c r="A29" s="685">
        <v>22</v>
      </c>
      <c r="B29" s="696" t="s">
        <v>244</v>
      </c>
      <c r="C29" s="687"/>
      <c r="D29" s="688" t="s">
        <v>377</v>
      </c>
      <c r="E29" s="689"/>
      <c r="F29" s="690"/>
      <c r="G29" s="687"/>
      <c r="H29" s="688" t="s">
        <v>377</v>
      </c>
      <c r="I29" s="689"/>
      <c r="J29" s="690"/>
      <c r="K29" s="687"/>
      <c r="L29" s="688" t="s">
        <v>377</v>
      </c>
      <c r="M29" s="689"/>
      <c r="N29" s="690"/>
      <c r="O29" s="687"/>
      <c r="P29" s="688" t="s">
        <v>377</v>
      </c>
      <c r="Q29" s="689"/>
      <c r="R29" s="690"/>
      <c r="S29" s="687"/>
      <c r="T29" s="688" t="s">
        <v>377</v>
      </c>
      <c r="U29" s="689"/>
      <c r="V29" s="690"/>
      <c r="W29" s="691">
        <f>IF(C29&gt;E29,J$3,IF(C29&lt;E29,J$5,IF(ISNUMBER(C29),J$4,0)))+IF(G29&gt;I29,J$3,IF(G29&lt;I29,J$5,IF(ISNUMBER(G29),J$4,0)))+IF(K29&gt;M29,J$3,IF(K29&lt;M29,J$5,IF(ISNUMBER(K29),J$4,0)))+IF(O29&gt;Q29,J$3,IF(O29&lt;Q29,J$5,IF(ISNUMBER(O29),J$4,0)))+IF(S29&gt;U29,J$3,IF(S29&lt;U29,J$5,IF(ISNUMBER(S29),J$4,0)))</f>
        <v>0</v>
      </c>
      <c r="X29" s="692"/>
      <c r="Y29" s="687">
        <f>C29+G29+K29+O29+S29</f>
        <v>0</v>
      </c>
      <c r="Z29" s="688" t="s">
        <v>377</v>
      </c>
      <c r="AA29" s="693">
        <f>E29+I29+M29+Q29+U29</f>
        <v>0</v>
      </c>
      <c r="AB29" s="694">
        <f>Y29-AA29</f>
        <v>0</v>
      </c>
      <c r="AC29" s="695"/>
      <c r="AD29" s="676">
        <f t="shared" ca="1" si="5"/>
        <v>80</v>
      </c>
      <c r="AE29" s="829" t="str">
        <f t="shared" si="0"/>
        <v>Enn Tokman</v>
      </c>
      <c r="AF29" s="830">
        <f ca="1">IFERROR(INDEX(Reit!$I:$I,MATCH(AE29,Reit!$F:$F,0)),"")</f>
        <v>80</v>
      </c>
      <c r="AG29" s="652"/>
    </row>
    <row r="30" spans="1:33" hidden="1" x14ac:dyDescent="0.2">
      <c r="A30" s="685">
        <v>23</v>
      </c>
      <c r="B30" s="686" t="s">
        <v>251</v>
      </c>
      <c r="C30" s="687"/>
      <c r="D30" s="688" t="s">
        <v>377</v>
      </c>
      <c r="E30" s="689"/>
      <c r="F30" s="690"/>
      <c r="G30" s="687"/>
      <c r="H30" s="688" t="s">
        <v>377</v>
      </c>
      <c r="I30" s="689"/>
      <c r="J30" s="690"/>
      <c r="K30" s="687"/>
      <c r="L30" s="688" t="s">
        <v>377</v>
      </c>
      <c r="M30" s="689"/>
      <c r="N30" s="690"/>
      <c r="O30" s="687"/>
      <c r="P30" s="688" t="s">
        <v>377</v>
      </c>
      <c r="Q30" s="689"/>
      <c r="R30" s="690"/>
      <c r="S30" s="687"/>
      <c r="T30" s="688" t="s">
        <v>377</v>
      </c>
      <c r="U30" s="689"/>
      <c r="V30" s="690"/>
      <c r="W30" s="691">
        <f>IF(C30&gt;E30,J$3,IF(C30&lt;E30,J$5,IF(ISNUMBER(C30),J$4,0)))+IF(G30&gt;I30,J$3,IF(G30&lt;I30,J$5,IF(ISNUMBER(G30),J$4,0)))+IF(K30&gt;M30,J$3,IF(K30&lt;M30,J$5,IF(ISNUMBER(K30),J$4,0)))+IF(O30&gt;Q30,J$3,IF(O30&lt;Q30,J$5,IF(ISNUMBER(O30),J$4,0)))+IF(S30&gt;U30,J$3,IF(S30&lt;U30,J$5,IF(ISNUMBER(S30),J$4,0)))</f>
        <v>0</v>
      </c>
      <c r="X30" s="692"/>
      <c r="Y30" s="687">
        <f>C30+G30+K30+O30+S30</f>
        <v>0</v>
      </c>
      <c r="Z30" s="688" t="s">
        <v>377</v>
      </c>
      <c r="AA30" s="693">
        <f>E30+I30+M30+Q30+U30</f>
        <v>0</v>
      </c>
      <c r="AB30" s="694">
        <f>Y30-AA30</f>
        <v>0</v>
      </c>
      <c r="AC30" s="695"/>
      <c r="AD30" s="676">
        <f t="shared" ref="AD30:AD31" ca="1" si="6">SUM(AF30:AF30)</f>
        <v>57</v>
      </c>
      <c r="AE30" s="829" t="str">
        <f t="shared" si="0"/>
        <v>Kaspar Mänd</v>
      </c>
      <c r="AF30" s="830">
        <f ca="1">IFERROR(INDEX(Reit!$I:$I,MATCH(AE30,Reit!$F:$F,0)),"")</f>
        <v>57</v>
      </c>
      <c r="AG30" s="652"/>
    </row>
    <row r="31" spans="1:33" hidden="1" x14ac:dyDescent="0.2">
      <c r="A31" s="685">
        <v>24</v>
      </c>
      <c r="B31" s="696" t="s">
        <v>259</v>
      </c>
      <c r="C31" s="687"/>
      <c r="D31" s="688" t="s">
        <v>377</v>
      </c>
      <c r="E31" s="689"/>
      <c r="F31" s="690"/>
      <c r="G31" s="687"/>
      <c r="H31" s="688" t="s">
        <v>377</v>
      </c>
      <c r="I31" s="689"/>
      <c r="J31" s="690"/>
      <c r="K31" s="687"/>
      <c r="L31" s="688" t="s">
        <v>377</v>
      </c>
      <c r="M31" s="689"/>
      <c r="N31" s="690"/>
      <c r="O31" s="687"/>
      <c r="P31" s="688" t="s">
        <v>377</v>
      </c>
      <c r="Q31" s="689"/>
      <c r="R31" s="690"/>
      <c r="S31" s="687"/>
      <c r="T31" s="688" t="s">
        <v>377</v>
      </c>
      <c r="U31" s="689"/>
      <c r="V31" s="690"/>
      <c r="W31" s="691">
        <f>IF(C31&gt;E31,J$3,IF(C31&lt;E31,J$5,IF(ISNUMBER(C31),J$4,0)))+IF(G31&gt;I31,J$3,IF(G31&lt;I31,J$5,IF(ISNUMBER(G31),J$4,0)))+IF(K31&gt;M31,J$3,IF(K31&lt;M31,J$5,IF(ISNUMBER(K31),J$4,0)))+IF(O31&gt;Q31,J$3,IF(O31&lt;Q31,J$5,IF(ISNUMBER(O31),J$4,0)))+IF(S31&gt;U31,J$3,IF(S31&lt;U31,J$5,IF(ISNUMBER(S31),J$4,0)))</f>
        <v>0</v>
      </c>
      <c r="X31" s="692"/>
      <c r="Y31" s="687">
        <f>C31+G31+K31+O31+S31</f>
        <v>0</v>
      </c>
      <c r="Z31" s="688" t="s">
        <v>377</v>
      </c>
      <c r="AA31" s="693">
        <f>E31+I31+M31+Q31+U31</f>
        <v>0</v>
      </c>
      <c r="AB31" s="694">
        <f>Y31-AA31</f>
        <v>0</v>
      </c>
      <c r="AC31" s="695"/>
      <c r="AD31" s="676">
        <f t="shared" ca="1" si="6"/>
        <v>39</v>
      </c>
      <c r="AE31" s="829" t="str">
        <f t="shared" si="0"/>
        <v>Illar Tõnurist</v>
      </c>
      <c r="AF31" s="830">
        <f ca="1">IFERROR(INDEX(Reit!$I:$I,MATCH(AE31,Reit!$F:$F,0)),"")</f>
        <v>39</v>
      </c>
      <c r="AG31" s="652"/>
    </row>
    <row r="32" spans="1:33" hidden="1" x14ac:dyDescent="0.2">
      <c r="A32" s="685">
        <v>25</v>
      </c>
      <c r="B32" s="686" t="s">
        <v>252</v>
      </c>
      <c r="C32" s="687"/>
      <c r="D32" s="688" t="s">
        <v>377</v>
      </c>
      <c r="E32" s="689"/>
      <c r="F32" s="690"/>
      <c r="G32" s="687"/>
      <c r="H32" s="688" t="s">
        <v>377</v>
      </c>
      <c r="I32" s="689"/>
      <c r="J32" s="690"/>
      <c r="K32" s="687"/>
      <c r="L32" s="688" t="s">
        <v>377</v>
      </c>
      <c r="M32" s="689"/>
      <c r="N32" s="690"/>
      <c r="O32" s="687"/>
      <c r="P32" s="688" t="s">
        <v>377</v>
      </c>
      <c r="Q32" s="689"/>
      <c r="R32" s="690"/>
      <c r="S32" s="687"/>
      <c r="T32" s="688" t="s">
        <v>377</v>
      </c>
      <c r="U32" s="689"/>
      <c r="V32" s="690"/>
      <c r="W32" s="691">
        <f t="shared" ref="W32:W35" si="7">IF(C32&gt;E32,J$3,IF(C32&lt;E32,J$5,IF(ISNUMBER(C32),J$4,0)))+IF(G32&gt;I32,J$3,IF(G32&lt;I32,J$5,IF(ISNUMBER(G32),J$4,0)))+IF(K32&gt;M32,J$3,IF(K32&lt;M32,J$5,IF(ISNUMBER(K32),J$4,0)))+IF(O32&gt;Q32,J$3,IF(O32&lt;Q32,J$5,IF(ISNUMBER(O32),J$4,0)))+IF(S32&gt;U32,J$3,IF(S32&lt;U32,J$5,IF(ISNUMBER(S32),J$4,0)))</f>
        <v>0</v>
      </c>
      <c r="X32" s="692"/>
      <c r="Y32" s="687">
        <f t="shared" ref="Y32:Y35" si="8">C32+G32+K32+O32+S32</f>
        <v>0</v>
      </c>
      <c r="Z32" s="688" t="s">
        <v>377</v>
      </c>
      <c r="AA32" s="693">
        <f t="shared" ref="AA32:AA35" si="9">E32+I32+M32+Q32+U32</f>
        <v>0</v>
      </c>
      <c r="AB32" s="694">
        <f t="shared" ref="AB32:AB35" si="10">Y32-AA32</f>
        <v>0</v>
      </c>
      <c r="AC32" s="695"/>
      <c r="AD32" s="676">
        <f t="shared" ref="AD32:AD35" ca="1" si="11">SUM(AF32:AF32)</f>
        <v>55</v>
      </c>
      <c r="AE32" s="829" t="str">
        <f t="shared" si="0"/>
        <v>Lemmit Toomra</v>
      </c>
      <c r="AF32" s="830">
        <f ca="1">IFERROR(INDEX(Reit!$I:$I,MATCH(AE32,Reit!$F:$F,0)),"")</f>
        <v>55</v>
      </c>
      <c r="AG32" s="652"/>
    </row>
    <row r="33" spans="1:33" hidden="1" x14ac:dyDescent="0.2">
      <c r="A33" s="685">
        <v>26</v>
      </c>
      <c r="B33" s="696" t="s">
        <v>226</v>
      </c>
      <c r="C33" s="687"/>
      <c r="D33" s="688" t="s">
        <v>377</v>
      </c>
      <c r="E33" s="689"/>
      <c r="F33" s="690"/>
      <c r="G33" s="687"/>
      <c r="H33" s="688" t="s">
        <v>377</v>
      </c>
      <c r="I33" s="689"/>
      <c r="J33" s="690"/>
      <c r="K33" s="687"/>
      <c r="L33" s="688" t="s">
        <v>377</v>
      </c>
      <c r="M33" s="689"/>
      <c r="N33" s="690"/>
      <c r="O33" s="687"/>
      <c r="P33" s="688" t="s">
        <v>377</v>
      </c>
      <c r="Q33" s="689"/>
      <c r="R33" s="690"/>
      <c r="S33" s="687"/>
      <c r="T33" s="688" t="s">
        <v>377</v>
      </c>
      <c r="U33" s="689"/>
      <c r="V33" s="690"/>
      <c r="W33" s="691">
        <f t="shared" si="7"/>
        <v>0</v>
      </c>
      <c r="X33" s="692"/>
      <c r="Y33" s="687">
        <f t="shared" si="8"/>
        <v>0</v>
      </c>
      <c r="Z33" s="688" t="s">
        <v>377</v>
      </c>
      <c r="AA33" s="693">
        <f t="shared" si="9"/>
        <v>0</v>
      </c>
      <c r="AB33" s="694">
        <f t="shared" si="10"/>
        <v>0</v>
      </c>
      <c r="AC33" s="695"/>
      <c r="AD33" s="676">
        <f t="shared" ca="1" si="11"/>
        <v>250</v>
      </c>
      <c r="AE33" s="829" t="str">
        <f t="shared" si="0"/>
        <v>Tõnu Piik</v>
      </c>
      <c r="AF33" s="830">
        <f ca="1">IFERROR(INDEX(Reit!$I:$I,MATCH(AE33,Reit!$F:$F,0)),"")</f>
        <v>250</v>
      </c>
      <c r="AG33" s="652"/>
    </row>
    <row r="34" spans="1:33" hidden="1" x14ac:dyDescent="0.2">
      <c r="A34" s="685">
        <v>27</v>
      </c>
      <c r="B34" s="686" t="s">
        <v>274</v>
      </c>
      <c r="C34" s="687"/>
      <c r="D34" s="688" t="s">
        <v>377</v>
      </c>
      <c r="E34" s="689"/>
      <c r="F34" s="690"/>
      <c r="G34" s="687"/>
      <c r="H34" s="688" t="s">
        <v>377</v>
      </c>
      <c r="I34" s="689"/>
      <c r="J34" s="690"/>
      <c r="K34" s="687"/>
      <c r="L34" s="688" t="s">
        <v>377</v>
      </c>
      <c r="M34" s="689"/>
      <c r="N34" s="690"/>
      <c r="O34" s="687"/>
      <c r="P34" s="688" t="s">
        <v>377</v>
      </c>
      <c r="Q34" s="689"/>
      <c r="R34" s="690"/>
      <c r="S34" s="687"/>
      <c r="T34" s="688" t="s">
        <v>377</v>
      </c>
      <c r="U34" s="689"/>
      <c r="V34" s="690"/>
      <c r="W34" s="691">
        <f t="shared" si="7"/>
        <v>0</v>
      </c>
      <c r="X34" s="692"/>
      <c r="Y34" s="687">
        <f t="shared" si="8"/>
        <v>0</v>
      </c>
      <c r="Z34" s="688" t="s">
        <v>377</v>
      </c>
      <c r="AA34" s="693">
        <f t="shared" si="9"/>
        <v>0</v>
      </c>
      <c r="AB34" s="694">
        <f t="shared" si="10"/>
        <v>0</v>
      </c>
      <c r="AC34" s="695"/>
      <c r="AD34" s="676">
        <f t="shared" ca="1" si="11"/>
        <v>1</v>
      </c>
      <c r="AE34" s="829" t="str">
        <f t="shared" si="0"/>
        <v>Sander Rose</v>
      </c>
      <c r="AF34" s="830">
        <f ca="1">IFERROR(INDEX(Reit!$I:$I,MATCH(AE34,Reit!$F:$F,0)),"")</f>
        <v>1</v>
      </c>
      <c r="AG34" s="652"/>
    </row>
    <row r="35" spans="1:33" hidden="1" x14ac:dyDescent="0.2">
      <c r="A35" s="685">
        <v>28</v>
      </c>
      <c r="B35" s="696" t="s">
        <v>245</v>
      </c>
      <c r="C35" s="687"/>
      <c r="D35" s="688" t="s">
        <v>377</v>
      </c>
      <c r="E35" s="689"/>
      <c r="F35" s="690"/>
      <c r="G35" s="687"/>
      <c r="H35" s="688" t="s">
        <v>377</v>
      </c>
      <c r="I35" s="689"/>
      <c r="J35" s="690"/>
      <c r="K35" s="687"/>
      <c r="L35" s="688" t="s">
        <v>377</v>
      </c>
      <c r="M35" s="689"/>
      <c r="N35" s="690"/>
      <c r="O35" s="687"/>
      <c r="P35" s="688" t="s">
        <v>377</v>
      </c>
      <c r="Q35" s="689"/>
      <c r="R35" s="690"/>
      <c r="S35" s="687"/>
      <c r="T35" s="688" t="s">
        <v>377</v>
      </c>
      <c r="U35" s="689"/>
      <c r="V35" s="690"/>
      <c r="W35" s="691">
        <f t="shared" si="7"/>
        <v>0</v>
      </c>
      <c r="X35" s="692"/>
      <c r="Y35" s="687">
        <f t="shared" si="8"/>
        <v>0</v>
      </c>
      <c r="Z35" s="688" t="s">
        <v>377</v>
      </c>
      <c r="AA35" s="693">
        <f t="shared" si="9"/>
        <v>0</v>
      </c>
      <c r="AB35" s="694">
        <f t="shared" si="10"/>
        <v>0</v>
      </c>
      <c r="AC35" s="695"/>
      <c r="AD35" s="676">
        <f t="shared" ca="1" si="11"/>
        <v>74</v>
      </c>
      <c r="AE35" s="829" t="str">
        <f t="shared" si="0"/>
        <v>Karla Purgats</v>
      </c>
      <c r="AF35" s="830">
        <f ca="1">IFERROR(INDEX(Reit!$I:$I,MATCH(AE35,Reit!$F:$F,0)),"")</f>
        <v>74</v>
      </c>
      <c r="AG35" s="652"/>
    </row>
    <row r="36" spans="1:33"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row>
    <row r="37" spans="1:33"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row>
    <row r="38" spans="1:33"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row>
    <row r="39" spans="1:33"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row>
    <row r="40" spans="1:33"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row>
    <row r="41" spans="1:33"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row>
    <row r="42" spans="1:33"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row>
    <row r="43" spans="1:33"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row>
    <row r="44" spans="1:33"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row>
    <row r="45" spans="1:33"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row>
    <row r="46" spans="1:33"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row>
    <row r="47" spans="1:33"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row>
    <row r="48" spans="1:33"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row>
    <row r="49" spans="1:33"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row>
    <row r="50" spans="1:33"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row>
    <row r="51" spans="1:33"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row>
    <row r="52" spans="1:33"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row>
    <row r="53" spans="1:33"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row>
    <row r="54" spans="1:33"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row>
    <row r="55" spans="1:33"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row>
    <row r="56" spans="1:33"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row>
    <row r="57" spans="1:33"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row>
    <row r="58" spans="1:33"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row>
    <row r="59" spans="1:33"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row>
    <row r="60" spans="1:33"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row>
    <row r="61" spans="1:33"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row>
    <row r="62" spans="1:33"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row>
    <row r="63" spans="1:33"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row>
    <row r="64" spans="1:33"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row>
    <row r="65" spans="1:33"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row>
    <row r="66" spans="1:33"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row>
    <row r="67" spans="1:33"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row>
    <row r="68" spans="1:33"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row>
    <row r="69" spans="1:33"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row>
    <row r="70" spans="1:33"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row>
    <row r="71" spans="1:33"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row>
    <row r="72" spans="1:33"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row>
    <row r="73" spans="1:33"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row>
    <row r="74" spans="1:33"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row>
    <row r="75" spans="1:33"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row>
    <row r="76" spans="1:33"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row>
    <row r="77" spans="1:33"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row>
    <row r="78" spans="1:33"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row>
    <row r="79" spans="1:33"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row>
    <row r="80" spans="1:33"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row>
    <row r="81" spans="1:33"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row>
    <row r="82" spans="1:33"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row>
    <row r="83" spans="1:33"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row>
    <row r="84" spans="1:33"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row>
    <row r="85" spans="1:33"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row>
    <row r="86" spans="1:33"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row>
    <row r="87" spans="1:33"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row>
    <row r="88" spans="1:33"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row>
    <row r="89" spans="1:33"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row>
    <row r="90" spans="1:33"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row>
    <row r="91" spans="1:33"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row>
    <row r="92" spans="1:33"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row>
    <row r="93" spans="1:33"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row>
    <row r="94" spans="1:33"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row>
    <row r="95" spans="1:33"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row>
    <row r="96" spans="1:33"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row>
    <row r="97" spans="1:33"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row>
    <row r="98" spans="1:33"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row>
    <row r="99" spans="1:33"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row>
    <row r="100" spans="1:33"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row>
    <row r="101" spans="1:33"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row>
    <row r="102" spans="1:33"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row>
    <row r="103" spans="1:33"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row>
    <row r="104" spans="1:33"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row>
    <row r="105" spans="1:33"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row>
    <row r="106" spans="1:33"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row>
    <row r="107" spans="1:33"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row>
    <row r="108" spans="1:33"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row>
    <row r="109" spans="1:33"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row>
    <row r="110" spans="1:33"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row>
    <row r="111" spans="1:33"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row>
    <row r="112" spans="1:33"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row>
    <row r="113" spans="1:33"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row>
    <row r="114" spans="1:33"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row>
    <row r="115" spans="1:33"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row>
    <row r="116" spans="1:33"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row>
    <row r="117" spans="1:33"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row>
    <row r="118" spans="1:33"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row>
    <row r="119" spans="1:33"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row>
    <row r="120" spans="1:33"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row>
    <row r="121" spans="1:33"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row>
    <row r="122" spans="1:33"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row>
    <row r="123" spans="1:33"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row>
    <row r="124" spans="1:33"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row>
    <row r="125" spans="1:33"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row>
    <row r="126" spans="1:33"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row>
    <row r="127" spans="1:33"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row>
    <row r="128" spans="1:33"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row>
    <row r="129" spans="1:33"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row>
    <row r="130" spans="1:33"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row>
    <row r="131" spans="1:33"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row>
    <row r="132" spans="1:33"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row>
    <row r="133" spans="1:33"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row>
    <row r="134" spans="1:33" hidden="1" x14ac:dyDescent="0.2">
      <c r="A134" s="652"/>
      <c r="B134" s="652"/>
      <c r="C134" s="652"/>
      <c r="D134" s="652"/>
      <c r="E134" s="652"/>
      <c r="F134" s="652"/>
      <c r="G134" s="652"/>
      <c r="H134" s="652"/>
      <c r="I134" s="652"/>
      <c r="J134" s="652"/>
      <c r="K134" s="652"/>
      <c r="L134" s="652"/>
      <c r="M134" s="652"/>
      <c r="N134" s="652"/>
      <c r="O134" s="652"/>
      <c r="P134" s="652"/>
      <c r="Q134" s="652"/>
      <c r="R134" s="652"/>
      <c r="S134" s="652"/>
      <c r="T134" s="652"/>
      <c r="U134" s="652"/>
      <c r="V134" s="652"/>
      <c r="W134" s="652"/>
      <c r="X134" s="652"/>
      <c r="Y134" s="652"/>
      <c r="Z134" s="652"/>
      <c r="AA134" s="652"/>
      <c r="AB134" s="652"/>
      <c r="AC134" s="652"/>
      <c r="AD134" s="652"/>
      <c r="AE134" s="652"/>
      <c r="AF134" s="652"/>
      <c r="AG134" s="652"/>
    </row>
    <row r="135" spans="1:33" hidden="1" x14ac:dyDescent="0.2">
      <c r="A135" s="652"/>
      <c r="B135" s="652"/>
      <c r="C135" s="652"/>
      <c r="D135" s="652"/>
      <c r="E135" s="652"/>
      <c r="F135" s="652"/>
      <c r="G135" s="652"/>
      <c r="H135" s="652"/>
      <c r="I135" s="652"/>
      <c r="J135" s="652"/>
      <c r="K135" s="652"/>
      <c r="L135" s="652"/>
      <c r="M135" s="652"/>
      <c r="N135" s="652"/>
      <c r="O135" s="652"/>
      <c r="P135" s="652"/>
      <c r="Q135" s="652"/>
      <c r="R135" s="652"/>
      <c r="S135" s="652"/>
      <c r="T135" s="652"/>
      <c r="U135" s="652"/>
      <c r="V135" s="652"/>
      <c r="W135" s="652"/>
      <c r="X135" s="652"/>
      <c r="Y135" s="652"/>
      <c r="Z135" s="652"/>
      <c r="AA135" s="652"/>
      <c r="AB135" s="652"/>
      <c r="AC135" s="652"/>
      <c r="AD135" s="652"/>
      <c r="AE135" s="652"/>
      <c r="AF135" s="652"/>
      <c r="AG135" s="652"/>
    </row>
    <row r="136" spans="1:33" hidden="1" x14ac:dyDescent="0.2">
      <c r="A136" s="652"/>
      <c r="B136" s="652"/>
      <c r="C136" s="652"/>
      <c r="D136" s="652"/>
      <c r="E136" s="652"/>
      <c r="F136" s="652"/>
      <c r="G136" s="652"/>
      <c r="H136" s="652"/>
      <c r="I136" s="652"/>
      <c r="J136" s="652"/>
      <c r="K136" s="652"/>
      <c r="L136" s="652"/>
      <c r="M136" s="652"/>
      <c r="N136" s="652"/>
      <c r="O136" s="652"/>
      <c r="P136" s="652"/>
      <c r="Q136" s="652"/>
      <c r="R136" s="652"/>
      <c r="S136" s="652"/>
      <c r="T136" s="652"/>
      <c r="U136" s="652"/>
      <c r="V136" s="652"/>
      <c r="W136" s="652"/>
      <c r="X136" s="652"/>
      <c r="Y136" s="652"/>
      <c r="Z136" s="652"/>
      <c r="AA136" s="652"/>
      <c r="AB136" s="652"/>
      <c r="AC136" s="652"/>
      <c r="AD136" s="652"/>
      <c r="AE136" s="652"/>
      <c r="AF136" s="652"/>
      <c r="AG136" s="652"/>
    </row>
    <row r="137" spans="1:33" hidden="1" x14ac:dyDescent="0.2">
      <c r="A137" s="652"/>
      <c r="B137" s="652"/>
      <c r="C137" s="652"/>
      <c r="D137" s="652"/>
      <c r="E137" s="652"/>
      <c r="F137" s="652"/>
      <c r="G137" s="652"/>
      <c r="H137" s="652"/>
      <c r="I137" s="652"/>
      <c r="J137" s="652"/>
      <c r="K137" s="652"/>
      <c r="L137" s="652"/>
      <c r="M137" s="652"/>
      <c r="N137" s="652"/>
      <c r="O137" s="652"/>
      <c r="P137" s="652"/>
      <c r="Q137" s="652"/>
      <c r="R137" s="652"/>
      <c r="S137" s="652"/>
      <c r="T137" s="652"/>
      <c r="U137" s="652"/>
      <c r="V137" s="652"/>
      <c r="W137" s="652"/>
      <c r="X137" s="652"/>
      <c r="Y137" s="652"/>
      <c r="Z137" s="652"/>
      <c r="AA137" s="652"/>
      <c r="AB137" s="652"/>
      <c r="AC137" s="652"/>
      <c r="AD137" s="652"/>
      <c r="AE137" s="652"/>
      <c r="AF137" s="652"/>
      <c r="AG137" s="652"/>
    </row>
    <row r="138" spans="1:33" hidden="1" x14ac:dyDescent="0.2">
      <c r="A138" s="652"/>
      <c r="B138" s="652"/>
      <c r="C138" s="652"/>
      <c r="D138" s="652"/>
      <c r="E138" s="652"/>
      <c r="F138" s="652"/>
      <c r="G138" s="652"/>
      <c r="H138" s="652"/>
      <c r="I138" s="652"/>
      <c r="J138" s="652"/>
      <c r="K138" s="652"/>
      <c r="L138" s="652"/>
      <c r="M138" s="652"/>
      <c r="N138" s="652"/>
      <c r="O138" s="652"/>
      <c r="P138" s="652"/>
      <c r="Q138" s="652"/>
      <c r="R138" s="652"/>
      <c r="S138" s="652"/>
      <c r="T138" s="652"/>
      <c r="U138" s="652"/>
      <c r="V138" s="652"/>
      <c r="W138" s="652"/>
      <c r="X138" s="652"/>
      <c r="Y138" s="652"/>
      <c r="Z138" s="652"/>
      <c r="AA138" s="652"/>
      <c r="AB138" s="652"/>
      <c r="AC138" s="652"/>
      <c r="AD138" s="652"/>
      <c r="AE138" s="652"/>
      <c r="AF138" s="652"/>
      <c r="AG138" s="652"/>
    </row>
    <row r="139" spans="1:33" hidden="1" x14ac:dyDescent="0.2">
      <c r="A139" s="652"/>
      <c r="B139" s="652"/>
      <c r="C139" s="652"/>
      <c r="D139" s="652"/>
      <c r="E139" s="652"/>
      <c r="F139" s="652"/>
      <c r="G139" s="652"/>
      <c r="H139" s="652"/>
      <c r="I139" s="652"/>
      <c r="J139" s="652"/>
      <c r="K139" s="652"/>
      <c r="L139" s="652"/>
      <c r="M139" s="652"/>
      <c r="N139" s="652"/>
      <c r="O139" s="652"/>
      <c r="P139" s="652"/>
      <c r="Q139" s="652"/>
      <c r="R139" s="652"/>
      <c r="S139" s="652"/>
      <c r="T139" s="652"/>
      <c r="U139" s="652"/>
      <c r="V139" s="652"/>
      <c r="W139" s="652"/>
      <c r="X139" s="652"/>
      <c r="Y139" s="652"/>
      <c r="Z139" s="652"/>
      <c r="AA139" s="652"/>
      <c r="AB139" s="652"/>
      <c r="AC139" s="652"/>
      <c r="AD139" s="652"/>
      <c r="AE139" s="652"/>
      <c r="AF139" s="652"/>
      <c r="AG139" s="652"/>
    </row>
    <row r="140" spans="1:33" hidden="1" x14ac:dyDescent="0.2">
      <c r="A140" s="652"/>
      <c r="B140" s="652"/>
      <c r="C140" s="652"/>
      <c r="D140" s="652"/>
      <c r="E140" s="652"/>
      <c r="F140" s="652"/>
      <c r="G140" s="652"/>
      <c r="H140" s="652"/>
      <c r="I140" s="652"/>
      <c r="J140" s="652"/>
      <c r="K140" s="652"/>
      <c r="L140" s="652"/>
      <c r="M140" s="652"/>
      <c r="N140" s="652"/>
      <c r="O140" s="652"/>
      <c r="P140" s="652"/>
      <c r="Q140" s="652"/>
      <c r="R140" s="652"/>
      <c r="S140" s="652"/>
      <c r="T140" s="652"/>
      <c r="U140" s="652"/>
      <c r="V140" s="652"/>
      <c r="W140" s="652"/>
      <c r="X140" s="652"/>
      <c r="Y140" s="652"/>
      <c r="Z140" s="652"/>
      <c r="AA140" s="652"/>
      <c r="AB140" s="652"/>
      <c r="AC140" s="652"/>
      <c r="AD140" s="652"/>
      <c r="AE140" s="652"/>
      <c r="AF140" s="652"/>
      <c r="AG140" s="652"/>
    </row>
    <row r="141" spans="1:33" hidden="1" x14ac:dyDescent="0.2">
      <c r="A141" s="652"/>
      <c r="B141" s="652"/>
      <c r="C141" s="652"/>
      <c r="D141" s="652"/>
      <c r="E141" s="652"/>
      <c r="F141" s="652"/>
      <c r="G141" s="652"/>
      <c r="H141" s="652"/>
      <c r="I141" s="652"/>
      <c r="J141" s="652"/>
      <c r="K141" s="652"/>
      <c r="L141" s="652"/>
      <c r="M141" s="652"/>
      <c r="N141" s="652"/>
      <c r="O141" s="652"/>
      <c r="P141" s="652"/>
      <c r="Q141" s="652"/>
      <c r="R141" s="652"/>
      <c r="S141" s="652"/>
      <c r="T141" s="652"/>
      <c r="U141" s="652"/>
      <c r="V141" s="652"/>
      <c r="W141" s="652"/>
      <c r="X141" s="652"/>
      <c r="Y141" s="652"/>
      <c r="Z141" s="652"/>
      <c r="AA141" s="652"/>
      <c r="AB141" s="652"/>
      <c r="AC141" s="652"/>
      <c r="AD141" s="652"/>
      <c r="AE141" s="652"/>
      <c r="AF141" s="652"/>
      <c r="AG141" s="652"/>
    </row>
    <row r="142" spans="1:33" hidden="1" x14ac:dyDescent="0.2">
      <c r="A142" s="652"/>
      <c r="B142" s="652"/>
      <c r="C142" s="652"/>
      <c r="D142" s="652"/>
      <c r="E142" s="652"/>
      <c r="F142" s="652"/>
      <c r="G142" s="652"/>
      <c r="H142" s="652"/>
      <c r="I142" s="652"/>
      <c r="J142" s="652"/>
      <c r="K142" s="652"/>
      <c r="L142" s="652"/>
      <c r="M142" s="652"/>
      <c r="N142" s="652"/>
      <c r="O142" s="652"/>
      <c r="P142" s="652"/>
      <c r="Q142" s="652"/>
      <c r="R142" s="652"/>
      <c r="S142" s="652"/>
      <c r="T142" s="652"/>
      <c r="U142" s="652"/>
      <c r="V142" s="652"/>
      <c r="W142" s="652"/>
      <c r="X142" s="652"/>
      <c r="Y142" s="652"/>
      <c r="Z142" s="652"/>
      <c r="AA142" s="652"/>
      <c r="AB142" s="652"/>
      <c r="AC142" s="652"/>
      <c r="AD142" s="652"/>
      <c r="AE142" s="652"/>
      <c r="AF142" s="652"/>
      <c r="AG142" s="652"/>
    </row>
    <row r="143" spans="1:33" hidden="1" x14ac:dyDescent="0.2">
      <c r="A143" s="652"/>
      <c r="B143" s="652"/>
      <c r="C143" s="652"/>
      <c r="D143" s="652"/>
      <c r="E143" s="652"/>
      <c r="F143" s="652"/>
      <c r="G143" s="652"/>
      <c r="H143" s="652"/>
      <c r="I143" s="652"/>
      <c r="J143" s="652"/>
      <c r="K143" s="652"/>
      <c r="L143" s="652"/>
      <c r="M143" s="652"/>
      <c r="N143" s="652"/>
      <c r="O143" s="652"/>
      <c r="P143" s="652"/>
      <c r="Q143" s="652"/>
      <c r="R143" s="652"/>
      <c r="S143" s="652"/>
      <c r="T143" s="652"/>
      <c r="U143" s="652"/>
      <c r="V143" s="652"/>
      <c r="W143" s="652"/>
      <c r="X143" s="652"/>
      <c r="Y143" s="652"/>
      <c r="Z143" s="652"/>
      <c r="AA143" s="652"/>
      <c r="AB143" s="652"/>
      <c r="AC143" s="652"/>
      <c r="AD143" s="652"/>
      <c r="AE143" s="652"/>
      <c r="AF143" s="652"/>
      <c r="AG143" s="652"/>
    </row>
    <row r="144" spans="1:33" hidden="1" x14ac:dyDescent="0.2">
      <c r="A144" s="652"/>
      <c r="B144" s="652"/>
      <c r="C144" s="652"/>
      <c r="D144" s="652"/>
      <c r="E144" s="652"/>
      <c r="F144" s="652"/>
      <c r="G144" s="652"/>
      <c r="H144" s="652"/>
      <c r="I144" s="652"/>
      <c r="J144" s="652"/>
      <c r="K144" s="652"/>
      <c r="L144" s="652"/>
      <c r="M144" s="652"/>
      <c r="N144" s="652"/>
      <c r="O144" s="652"/>
      <c r="P144" s="652"/>
      <c r="Q144" s="652"/>
      <c r="R144" s="652"/>
      <c r="S144" s="652"/>
      <c r="T144" s="652"/>
      <c r="U144" s="652"/>
      <c r="V144" s="652"/>
      <c r="W144" s="652"/>
      <c r="X144" s="652"/>
      <c r="Y144" s="652"/>
      <c r="Z144" s="652"/>
      <c r="AA144" s="652"/>
      <c r="AB144" s="652"/>
      <c r="AC144" s="652"/>
      <c r="AD144" s="652"/>
      <c r="AE144" s="652"/>
      <c r="AF144" s="652"/>
      <c r="AG144" s="652"/>
    </row>
    <row r="145" spans="1:33" hidden="1" x14ac:dyDescent="0.2">
      <c r="A145" s="652"/>
      <c r="B145" s="652"/>
      <c r="C145" s="652"/>
      <c r="D145" s="652"/>
      <c r="E145" s="652"/>
      <c r="F145" s="652"/>
      <c r="G145" s="652"/>
      <c r="H145" s="652"/>
      <c r="I145" s="652"/>
      <c r="J145" s="652"/>
      <c r="K145" s="652"/>
      <c r="L145" s="652"/>
      <c r="M145" s="652"/>
      <c r="N145" s="652"/>
      <c r="O145" s="652"/>
      <c r="P145" s="652"/>
      <c r="Q145" s="652"/>
      <c r="R145" s="652"/>
      <c r="S145" s="652"/>
      <c r="T145" s="652"/>
      <c r="U145" s="652"/>
      <c r="V145" s="652"/>
      <c r="W145" s="652"/>
      <c r="X145" s="652"/>
      <c r="Y145" s="652"/>
      <c r="Z145" s="652"/>
      <c r="AA145" s="652"/>
      <c r="AB145" s="652"/>
      <c r="AC145" s="652"/>
      <c r="AD145" s="652"/>
      <c r="AE145" s="652"/>
      <c r="AF145" s="652"/>
      <c r="AG145" s="652"/>
    </row>
    <row r="146" spans="1:33" hidden="1" x14ac:dyDescent="0.2">
      <c r="A146" s="652"/>
      <c r="B146" s="652"/>
      <c r="C146" s="652"/>
      <c r="D146" s="652"/>
      <c r="E146" s="652"/>
      <c r="F146" s="652"/>
      <c r="G146" s="652"/>
      <c r="H146" s="652"/>
      <c r="I146" s="652"/>
      <c r="J146" s="652"/>
      <c r="K146" s="652"/>
      <c r="L146" s="652"/>
      <c r="M146" s="652"/>
      <c r="N146" s="652"/>
      <c r="O146" s="652"/>
      <c r="P146" s="652"/>
      <c r="Q146" s="652"/>
      <c r="R146" s="652"/>
      <c r="S146" s="652"/>
      <c r="T146" s="652"/>
      <c r="U146" s="652"/>
      <c r="V146" s="652"/>
      <c r="W146" s="652"/>
      <c r="X146" s="652"/>
      <c r="Y146" s="652"/>
      <c r="Z146" s="652"/>
      <c r="AA146" s="652"/>
      <c r="AB146" s="652"/>
      <c r="AC146" s="652"/>
      <c r="AD146" s="652"/>
      <c r="AE146" s="652"/>
      <c r="AF146" s="652"/>
      <c r="AG146" s="652"/>
    </row>
    <row r="147" spans="1:33"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row>
    <row r="148" spans="1:33"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row>
    <row r="149" spans="1:33"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row>
    <row r="150" spans="1:33" hidden="1" x14ac:dyDescent="0.2">
      <c r="A150" s="652"/>
      <c r="B150" s="652"/>
      <c r="C150" s="652"/>
      <c r="D150" s="652"/>
      <c r="E150" s="652"/>
      <c r="F150" s="652"/>
      <c r="G150" s="652"/>
      <c r="H150" s="652"/>
      <c r="I150" s="652"/>
      <c r="J150" s="652"/>
      <c r="K150" s="652"/>
      <c r="L150" s="657"/>
      <c r="M150" s="657"/>
      <c r="N150" s="657"/>
      <c r="O150" s="652"/>
      <c r="P150" s="652"/>
      <c r="Q150" s="652"/>
      <c r="R150" s="652"/>
      <c r="S150" s="652"/>
      <c r="T150" s="657"/>
      <c r="U150" s="657"/>
      <c r="V150" s="657"/>
      <c r="W150" s="652"/>
      <c r="X150" s="652"/>
      <c r="Y150" s="652"/>
      <c r="Z150" s="652"/>
      <c r="AA150" s="652"/>
      <c r="AB150" s="652"/>
      <c r="AC150" s="652"/>
      <c r="AD150" s="652"/>
      <c r="AE150" s="652"/>
      <c r="AF150" s="652"/>
      <c r="AG150" s="652"/>
    </row>
    <row r="151" spans="1:33" hidden="1" x14ac:dyDescent="0.2">
      <c r="A151" s="652"/>
      <c r="B151" s="652"/>
      <c r="C151" s="652"/>
      <c r="D151" s="652"/>
      <c r="E151" s="652"/>
      <c r="F151" s="652"/>
      <c r="G151" s="652"/>
      <c r="H151" s="652"/>
      <c r="I151" s="652"/>
      <c r="J151" s="652"/>
      <c r="K151" s="652"/>
      <c r="L151" s="657"/>
      <c r="M151" s="657"/>
      <c r="N151" s="657"/>
      <c r="O151" s="652"/>
      <c r="P151" s="652"/>
      <c r="Q151" s="652"/>
      <c r="R151" s="652"/>
      <c r="S151" s="652"/>
      <c r="T151" s="657"/>
      <c r="U151" s="657"/>
      <c r="V151" s="657"/>
      <c r="W151" s="652"/>
      <c r="X151" s="652"/>
      <c r="Y151" s="652"/>
      <c r="Z151" s="652"/>
      <c r="AA151" s="652"/>
      <c r="AB151" s="652"/>
      <c r="AC151" s="652"/>
      <c r="AD151" s="652"/>
      <c r="AE151" s="652"/>
      <c r="AF151" s="652"/>
      <c r="AG151" s="652"/>
    </row>
    <row r="152" spans="1:33" hidden="1" x14ac:dyDescent="0.2">
      <c r="A152" s="652"/>
      <c r="B152" s="652"/>
      <c r="C152" s="652"/>
      <c r="D152" s="652"/>
      <c r="E152" s="652"/>
      <c r="F152" s="652"/>
      <c r="G152" s="652"/>
      <c r="H152" s="652"/>
      <c r="I152" s="652"/>
      <c r="J152" s="652"/>
      <c r="K152" s="652"/>
      <c r="L152" s="657"/>
      <c r="M152" s="657"/>
      <c r="N152" s="657"/>
      <c r="O152" s="652"/>
      <c r="P152" s="652"/>
      <c r="Q152" s="652"/>
      <c r="R152" s="652"/>
      <c r="S152" s="652"/>
      <c r="T152" s="657"/>
      <c r="U152" s="657"/>
      <c r="V152" s="657"/>
      <c r="W152" s="652"/>
      <c r="X152" s="652"/>
      <c r="Y152" s="652"/>
      <c r="Z152" s="652"/>
      <c r="AA152" s="652"/>
      <c r="AB152" s="652"/>
      <c r="AC152" s="652"/>
      <c r="AD152" s="652"/>
      <c r="AE152" s="652"/>
      <c r="AF152" s="652"/>
      <c r="AG152" s="652"/>
    </row>
    <row r="153" spans="1:33" hidden="1" x14ac:dyDescent="0.2">
      <c r="A153" s="652"/>
      <c r="B153" s="652"/>
      <c r="C153" s="652"/>
      <c r="D153" s="652"/>
      <c r="E153" s="652"/>
      <c r="F153" s="652"/>
      <c r="G153" s="652"/>
      <c r="H153" s="652"/>
      <c r="I153" s="652"/>
      <c r="J153" s="652"/>
      <c r="K153" s="652"/>
      <c r="L153" s="657"/>
      <c r="M153" s="657"/>
      <c r="N153" s="657"/>
      <c r="O153" s="652"/>
      <c r="P153" s="652"/>
      <c r="Q153" s="652"/>
      <c r="R153" s="652"/>
      <c r="S153" s="652"/>
      <c r="T153" s="657"/>
      <c r="U153" s="657"/>
      <c r="V153" s="657"/>
      <c r="W153" s="652"/>
      <c r="X153" s="652"/>
      <c r="Y153" s="652"/>
      <c r="Z153" s="652"/>
      <c r="AA153" s="652"/>
      <c r="AB153" s="652"/>
      <c r="AC153" s="652"/>
      <c r="AD153" s="652"/>
      <c r="AE153" s="652"/>
      <c r="AF153" s="652"/>
      <c r="AG153" s="652"/>
    </row>
    <row r="154" spans="1:33" hidden="1" x14ac:dyDescent="0.2">
      <c r="A154" s="652"/>
      <c r="B154" s="652"/>
      <c r="C154" s="652"/>
      <c r="D154" s="652"/>
      <c r="E154" s="652"/>
      <c r="F154" s="652"/>
      <c r="G154" s="652"/>
      <c r="H154" s="652"/>
      <c r="I154" s="652"/>
      <c r="J154" s="652"/>
      <c r="K154" s="652"/>
      <c r="L154" s="657"/>
      <c r="M154" s="657"/>
      <c r="N154" s="657"/>
      <c r="O154" s="652"/>
      <c r="P154" s="652"/>
      <c r="Q154" s="652"/>
      <c r="R154" s="652"/>
      <c r="S154" s="652"/>
      <c r="T154" s="657"/>
      <c r="U154" s="657"/>
      <c r="V154" s="657"/>
      <c r="W154" s="652"/>
      <c r="X154" s="652"/>
      <c r="Y154" s="652"/>
      <c r="Z154" s="652"/>
      <c r="AA154" s="652"/>
      <c r="AB154" s="652"/>
      <c r="AC154" s="652"/>
      <c r="AD154" s="652"/>
      <c r="AE154" s="652"/>
      <c r="AF154" s="652"/>
      <c r="AG154" s="652"/>
    </row>
    <row r="155" spans="1:33" hidden="1" x14ac:dyDescent="0.2">
      <c r="A155" s="652"/>
      <c r="B155" s="652"/>
      <c r="C155" s="652"/>
      <c r="D155" s="652"/>
      <c r="E155" s="652"/>
      <c r="F155" s="652"/>
      <c r="G155" s="652"/>
      <c r="H155" s="652"/>
      <c r="I155" s="652"/>
      <c r="J155" s="652"/>
      <c r="K155" s="652"/>
      <c r="L155" s="657"/>
      <c r="M155" s="657"/>
      <c r="N155" s="657"/>
      <c r="O155" s="652"/>
      <c r="P155" s="652"/>
      <c r="Q155" s="652"/>
      <c r="R155" s="652"/>
      <c r="S155" s="652"/>
      <c r="T155" s="657"/>
      <c r="U155" s="657"/>
      <c r="V155" s="657"/>
      <c r="W155" s="652"/>
      <c r="X155" s="652"/>
      <c r="Y155" s="652"/>
      <c r="Z155" s="652"/>
      <c r="AA155" s="652"/>
      <c r="AB155" s="652"/>
      <c r="AC155" s="652"/>
      <c r="AD155" s="652"/>
      <c r="AE155" s="652"/>
      <c r="AF155" s="652"/>
      <c r="AG155" s="652"/>
    </row>
    <row r="156" spans="1:33" hidden="1" x14ac:dyDescent="0.2">
      <c r="A156" s="652"/>
      <c r="B156" s="652"/>
      <c r="C156" s="652"/>
      <c r="D156" s="652"/>
      <c r="E156" s="652"/>
      <c r="F156" s="652"/>
      <c r="G156" s="652"/>
      <c r="H156" s="652"/>
      <c r="I156" s="652"/>
      <c r="J156" s="652"/>
      <c r="K156" s="652"/>
      <c r="L156" s="657"/>
      <c r="M156" s="657"/>
      <c r="N156" s="657"/>
      <c r="O156" s="652"/>
      <c r="P156" s="652"/>
      <c r="Q156" s="652"/>
      <c r="R156" s="652"/>
      <c r="S156" s="652"/>
      <c r="T156" s="657"/>
      <c r="U156" s="657"/>
      <c r="V156" s="657"/>
      <c r="W156" s="652"/>
      <c r="X156" s="652"/>
      <c r="Y156" s="652"/>
      <c r="Z156" s="652"/>
      <c r="AA156" s="652"/>
      <c r="AB156" s="652"/>
      <c r="AC156" s="652"/>
      <c r="AD156" s="652"/>
      <c r="AE156" s="652"/>
      <c r="AF156" s="652"/>
      <c r="AG156" s="652"/>
    </row>
    <row r="157" spans="1:33" hidden="1" x14ac:dyDescent="0.2">
      <c r="A157" s="652"/>
      <c r="B157" s="652"/>
      <c r="C157" s="652"/>
      <c r="D157" s="652"/>
      <c r="E157" s="652"/>
      <c r="F157" s="652"/>
      <c r="G157" s="652"/>
      <c r="H157" s="652"/>
      <c r="I157" s="652"/>
      <c r="J157" s="652"/>
      <c r="K157" s="652"/>
      <c r="L157" s="657"/>
      <c r="M157" s="657"/>
      <c r="N157" s="657"/>
      <c r="O157" s="652"/>
      <c r="P157" s="652"/>
      <c r="Q157" s="652"/>
      <c r="R157" s="652"/>
      <c r="S157" s="652"/>
      <c r="T157" s="657"/>
      <c r="U157" s="657"/>
      <c r="V157" s="657"/>
      <c r="W157" s="652"/>
      <c r="X157" s="652"/>
      <c r="Y157" s="652"/>
      <c r="Z157" s="652"/>
      <c r="AA157" s="652"/>
      <c r="AB157" s="652"/>
      <c r="AC157" s="652"/>
      <c r="AD157" s="652"/>
      <c r="AE157" s="652"/>
      <c r="AF157" s="652"/>
      <c r="AG157" s="652"/>
    </row>
    <row r="158" spans="1:33" hidden="1" x14ac:dyDescent="0.2">
      <c r="A158" s="652"/>
      <c r="B158" s="652"/>
      <c r="C158" s="652"/>
      <c r="D158" s="652"/>
      <c r="E158" s="652"/>
      <c r="F158" s="652"/>
      <c r="G158" s="652"/>
      <c r="H158" s="652"/>
      <c r="I158" s="652"/>
      <c r="J158" s="652"/>
      <c r="K158" s="652"/>
      <c r="L158" s="657"/>
      <c r="M158" s="657"/>
      <c r="N158" s="657"/>
      <c r="O158" s="652"/>
      <c r="P158" s="652"/>
      <c r="Q158" s="652"/>
      <c r="R158" s="652"/>
      <c r="S158" s="652"/>
      <c r="T158" s="657"/>
      <c r="U158" s="657"/>
      <c r="V158" s="657"/>
      <c r="W158" s="652"/>
      <c r="X158" s="652"/>
      <c r="Y158" s="652"/>
      <c r="Z158" s="652"/>
      <c r="AA158" s="652"/>
      <c r="AB158" s="652"/>
      <c r="AC158" s="652"/>
      <c r="AD158" s="652"/>
      <c r="AE158" s="652"/>
      <c r="AF158" s="652"/>
      <c r="AG158" s="652"/>
    </row>
    <row r="159" spans="1:33" hidden="1" x14ac:dyDescent="0.2">
      <c r="A159" s="652"/>
      <c r="B159" s="652"/>
      <c r="C159" s="652"/>
      <c r="D159" s="652"/>
      <c r="E159" s="652"/>
      <c r="F159" s="652"/>
      <c r="G159" s="652"/>
      <c r="H159" s="652"/>
      <c r="I159" s="652"/>
      <c r="J159" s="652"/>
      <c r="K159" s="652"/>
      <c r="L159" s="657"/>
      <c r="M159" s="657"/>
      <c r="N159" s="657"/>
      <c r="O159" s="652"/>
      <c r="P159" s="652"/>
      <c r="Q159" s="652"/>
      <c r="R159" s="652"/>
      <c r="S159" s="652"/>
      <c r="T159" s="657"/>
      <c r="U159" s="657"/>
      <c r="V159" s="657"/>
      <c r="W159" s="652"/>
      <c r="X159" s="652"/>
      <c r="Y159" s="652"/>
      <c r="Z159" s="652"/>
      <c r="AA159" s="652"/>
      <c r="AB159" s="652"/>
      <c r="AC159" s="652"/>
      <c r="AD159" s="652"/>
      <c r="AE159" s="652"/>
      <c r="AF159" s="652"/>
      <c r="AG159" s="652"/>
    </row>
    <row r="160" spans="1:33" hidden="1" x14ac:dyDescent="0.2">
      <c r="A160" s="652"/>
      <c r="B160" s="652"/>
      <c r="C160" s="652"/>
      <c r="D160" s="652"/>
      <c r="E160" s="652"/>
      <c r="F160" s="652"/>
      <c r="G160" s="652"/>
      <c r="H160" s="652"/>
      <c r="I160" s="652"/>
      <c r="J160" s="652"/>
      <c r="K160" s="652"/>
      <c r="L160" s="657"/>
      <c r="M160" s="657"/>
      <c r="N160" s="657"/>
      <c r="O160" s="652"/>
      <c r="P160" s="652"/>
      <c r="Q160" s="652"/>
      <c r="R160" s="652"/>
      <c r="S160" s="652"/>
      <c r="T160" s="657"/>
      <c r="U160" s="657"/>
      <c r="V160" s="657"/>
      <c r="W160" s="652"/>
      <c r="X160" s="652"/>
      <c r="Y160" s="652"/>
      <c r="Z160" s="652"/>
      <c r="AA160" s="652"/>
      <c r="AB160" s="652"/>
      <c r="AC160" s="652"/>
      <c r="AD160" s="652"/>
      <c r="AE160" s="652"/>
      <c r="AF160" s="652"/>
      <c r="AG160" s="652"/>
    </row>
    <row r="161" spans="1:33" hidden="1" x14ac:dyDescent="0.2">
      <c r="A161" s="652"/>
      <c r="B161" s="652"/>
      <c r="C161" s="652"/>
      <c r="D161" s="652"/>
      <c r="E161" s="652"/>
      <c r="F161" s="652"/>
      <c r="G161" s="652"/>
      <c r="H161" s="652"/>
      <c r="I161" s="652"/>
      <c r="J161" s="652"/>
      <c r="K161" s="652"/>
      <c r="L161" s="657"/>
      <c r="M161" s="657"/>
      <c r="N161" s="657"/>
      <c r="O161" s="652"/>
      <c r="P161" s="652"/>
      <c r="Q161" s="652"/>
      <c r="R161" s="652"/>
      <c r="S161" s="652"/>
      <c r="T161" s="657"/>
      <c r="U161" s="657"/>
      <c r="V161" s="657"/>
      <c r="W161" s="652"/>
      <c r="X161" s="652"/>
      <c r="Y161" s="652"/>
      <c r="Z161" s="652"/>
      <c r="AA161" s="652"/>
      <c r="AB161" s="652"/>
      <c r="AC161" s="652"/>
      <c r="AD161" s="652"/>
      <c r="AE161" s="652"/>
      <c r="AF161" s="652"/>
      <c r="AG161" s="652"/>
    </row>
    <row r="162" spans="1:33" hidden="1" x14ac:dyDescent="0.2">
      <c r="A162" s="652"/>
      <c r="B162" s="652"/>
      <c r="C162" s="652"/>
      <c r="D162" s="652"/>
      <c r="E162" s="652"/>
      <c r="F162" s="652"/>
      <c r="G162" s="652"/>
      <c r="H162" s="652"/>
      <c r="I162" s="652"/>
      <c r="J162" s="652"/>
      <c r="K162" s="652"/>
      <c r="L162" s="657"/>
      <c r="M162" s="657"/>
      <c r="N162" s="657"/>
      <c r="O162" s="652"/>
      <c r="P162" s="652"/>
      <c r="Q162" s="652"/>
      <c r="R162" s="652"/>
      <c r="S162" s="652"/>
      <c r="T162" s="657"/>
      <c r="U162" s="657"/>
      <c r="V162" s="657"/>
      <c r="W162" s="652"/>
      <c r="X162" s="652"/>
      <c r="Y162" s="652"/>
      <c r="Z162" s="652"/>
      <c r="AA162" s="652"/>
      <c r="AB162" s="652"/>
      <c r="AC162" s="652"/>
      <c r="AD162" s="652"/>
      <c r="AE162" s="652"/>
      <c r="AF162" s="652"/>
      <c r="AG162" s="652"/>
    </row>
    <row r="163" spans="1:33" hidden="1" x14ac:dyDescent="0.2">
      <c r="A163" s="652"/>
      <c r="B163" s="652"/>
      <c r="C163" s="652"/>
      <c r="D163" s="652"/>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52"/>
      <c r="AE163" s="652"/>
      <c r="AF163" s="652"/>
      <c r="AG163" s="652"/>
    </row>
    <row r="164" spans="1:33" hidden="1" x14ac:dyDescent="0.2">
      <c r="A164" s="652"/>
      <c r="B164" s="652"/>
      <c r="C164" s="652"/>
      <c r="D164" s="652"/>
      <c r="E164" s="652"/>
      <c r="F164" s="652"/>
      <c r="G164" s="652"/>
      <c r="H164" s="652"/>
      <c r="I164" s="652"/>
      <c r="J164" s="652"/>
      <c r="K164" s="652"/>
      <c r="L164" s="652"/>
      <c r="M164" s="652"/>
      <c r="N164" s="652"/>
      <c r="O164" s="652"/>
      <c r="P164" s="652"/>
      <c r="Q164" s="652"/>
      <c r="R164" s="652"/>
      <c r="S164" s="652"/>
      <c r="T164" s="652"/>
      <c r="U164" s="652"/>
      <c r="V164" s="652"/>
      <c r="W164" s="652"/>
      <c r="X164" s="652"/>
      <c r="Y164" s="652"/>
      <c r="Z164" s="652"/>
      <c r="AA164" s="652"/>
      <c r="AB164" s="652"/>
      <c r="AC164" s="652"/>
      <c r="AD164" s="652"/>
      <c r="AE164" s="652"/>
      <c r="AF164" s="652"/>
      <c r="AG164" s="652"/>
    </row>
    <row r="165" spans="1:33" hidden="1" x14ac:dyDescent="0.2">
      <c r="A165" s="652"/>
      <c r="B165" s="652"/>
      <c r="C165" s="652"/>
      <c r="D165" s="652"/>
      <c r="E165" s="652"/>
      <c r="F165" s="652"/>
      <c r="G165" s="652"/>
      <c r="H165" s="652"/>
      <c r="I165" s="652"/>
      <c r="J165" s="652"/>
      <c r="K165" s="652"/>
      <c r="L165" s="652"/>
      <c r="M165" s="652"/>
      <c r="N165" s="652"/>
      <c r="O165" s="652"/>
      <c r="P165" s="652"/>
      <c r="Q165" s="652"/>
      <c r="R165" s="652"/>
      <c r="S165" s="652"/>
      <c r="T165" s="652"/>
      <c r="U165" s="652"/>
      <c r="V165" s="652"/>
      <c r="W165" s="652"/>
      <c r="X165" s="652"/>
      <c r="Y165" s="652"/>
      <c r="Z165" s="652"/>
      <c r="AA165" s="652"/>
      <c r="AB165" s="652"/>
      <c r="AC165" s="652"/>
      <c r="AD165" s="652"/>
      <c r="AE165" s="652"/>
      <c r="AF165" s="652"/>
      <c r="AG165" s="652"/>
    </row>
    <row r="166" spans="1:33" hidden="1" x14ac:dyDescent="0.2">
      <c r="A166" s="652"/>
      <c r="B166" s="652"/>
      <c r="C166" s="652"/>
      <c r="D166" s="652"/>
      <c r="E166" s="652"/>
      <c r="F166" s="652"/>
      <c r="G166" s="652"/>
      <c r="H166" s="652"/>
      <c r="I166" s="652"/>
      <c r="J166" s="652"/>
      <c r="K166" s="652"/>
      <c r="L166" s="652"/>
      <c r="M166" s="652"/>
      <c r="N166" s="652"/>
      <c r="O166" s="652"/>
      <c r="P166" s="652"/>
      <c r="Q166" s="652"/>
      <c r="R166" s="652"/>
      <c r="S166" s="652"/>
      <c r="T166" s="652"/>
      <c r="U166" s="652"/>
      <c r="V166" s="652"/>
      <c r="W166" s="652"/>
      <c r="X166" s="652"/>
      <c r="Y166" s="652"/>
      <c r="Z166" s="652"/>
      <c r="AA166" s="652"/>
      <c r="AB166" s="652"/>
      <c r="AC166" s="652"/>
      <c r="AD166" s="652"/>
      <c r="AE166" s="652"/>
      <c r="AF166" s="652"/>
      <c r="AG166" s="652"/>
    </row>
    <row r="167" spans="1:33" hidden="1" x14ac:dyDescent="0.2">
      <c r="A167" s="652"/>
      <c r="B167" s="652"/>
      <c r="C167" s="652"/>
      <c r="D167" s="652"/>
      <c r="E167" s="652"/>
      <c r="F167" s="652"/>
      <c r="G167" s="652"/>
      <c r="H167" s="652"/>
      <c r="I167" s="652"/>
      <c r="J167" s="652"/>
      <c r="K167" s="652"/>
      <c r="L167" s="652"/>
      <c r="M167" s="652"/>
      <c r="N167" s="652"/>
      <c r="O167" s="652"/>
      <c r="P167" s="652"/>
      <c r="Q167" s="652"/>
      <c r="R167" s="652"/>
      <c r="S167" s="652"/>
      <c r="T167" s="652"/>
      <c r="U167" s="652"/>
      <c r="V167" s="652"/>
      <c r="W167" s="652"/>
      <c r="X167" s="652"/>
      <c r="Y167" s="652"/>
      <c r="Z167" s="652"/>
      <c r="AA167" s="652"/>
      <c r="AB167" s="652"/>
      <c r="AC167" s="652"/>
      <c r="AD167" s="652"/>
      <c r="AE167" s="652"/>
      <c r="AF167" s="652"/>
      <c r="AG167" s="652"/>
    </row>
    <row r="168" spans="1:33" hidden="1" x14ac:dyDescent="0.2">
      <c r="A168" s="652"/>
      <c r="B168" s="652"/>
      <c r="C168" s="652"/>
      <c r="D168" s="652"/>
      <c r="E168" s="652"/>
      <c r="F168" s="652"/>
      <c r="G168" s="652"/>
      <c r="H168" s="652"/>
      <c r="I168" s="652"/>
      <c r="J168" s="652"/>
      <c r="K168" s="652"/>
      <c r="L168" s="652"/>
      <c r="M168" s="652"/>
      <c r="N168" s="652"/>
      <c r="O168" s="652"/>
      <c r="P168" s="652"/>
      <c r="Q168" s="652"/>
      <c r="R168" s="652"/>
      <c r="S168" s="652"/>
      <c r="T168" s="652"/>
      <c r="U168" s="652"/>
      <c r="V168" s="652"/>
      <c r="W168" s="652"/>
      <c r="X168" s="652"/>
      <c r="Y168" s="652"/>
      <c r="Z168" s="652"/>
      <c r="AA168" s="652"/>
      <c r="AB168" s="652"/>
      <c r="AC168" s="652"/>
      <c r="AD168" s="652"/>
      <c r="AE168" s="652"/>
      <c r="AF168" s="652"/>
      <c r="AG168" s="652"/>
    </row>
    <row r="169" spans="1:33" hidden="1" x14ac:dyDescent="0.2">
      <c r="A169" s="652"/>
      <c r="B169" s="652"/>
      <c r="C169" s="652"/>
      <c r="D169" s="652"/>
      <c r="E169" s="652"/>
      <c r="F169" s="652"/>
      <c r="G169" s="652"/>
      <c r="H169" s="652"/>
      <c r="I169" s="652"/>
      <c r="J169" s="652"/>
      <c r="K169" s="652"/>
      <c r="L169" s="652"/>
      <c r="M169" s="652"/>
      <c r="N169" s="652"/>
      <c r="O169" s="652"/>
      <c r="P169" s="652"/>
      <c r="Q169" s="652"/>
      <c r="R169" s="652"/>
      <c r="S169" s="652"/>
      <c r="T169" s="652"/>
      <c r="U169" s="652"/>
      <c r="V169" s="652"/>
      <c r="W169" s="652"/>
      <c r="X169" s="652"/>
      <c r="Y169" s="652"/>
      <c r="Z169" s="652"/>
      <c r="AA169" s="652"/>
      <c r="AB169" s="652"/>
      <c r="AC169" s="652"/>
      <c r="AD169" s="652"/>
      <c r="AE169" s="652"/>
      <c r="AF169" s="652"/>
      <c r="AG169" s="652"/>
    </row>
    <row r="170" spans="1:33" hidden="1" x14ac:dyDescent="0.2">
      <c r="A170" s="652"/>
      <c r="B170" s="652"/>
      <c r="C170" s="652"/>
      <c r="D170" s="652"/>
      <c r="E170" s="652"/>
      <c r="F170" s="652"/>
      <c r="G170" s="652"/>
      <c r="H170" s="652"/>
      <c r="I170" s="652"/>
      <c r="J170" s="652"/>
      <c r="K170" s="652"/>
      <c r="L170" s="652"/>
      <c r="M170" s="652"/>
      <c r="N170" s="652"/>
      <c r="O170" s="652"/>
      <c r="P170" s="652"/>
      <c r="Q170" s="652"/>
      <c r="R170" s="652"/>
      <c r="S170" s="652"/>
      <c r="T170" s="652"/>
      <c r="U170" s="652"/>
      <c r="V170" s="652"/>
      <c r="W170" s="652"/>
      <c r="X170" s="652"/>
      <c r="Y170" s="652"/>
      <c r="Z170" s="652"/>
      <c r="AA170" s="652"/>
      <c r="AB170" s="652"/>
      <c r="AC170" s="652"/>
      <c r="AD170" s="652"/>
      <c r="AE170" s="652"/>
      <c r="AF170" s="652"/>
      <c r="AG170" s="652"/>
    </row>
    <row r="171" spans="1:33" hidden="1" x14ac:dyDescent="0.2">
      <c r="A171" s="652"/>
      <c r="B171" s="652"/>
      <c r="C171" s="652"/>
      <c r="D171" s="652"/>
      <c r="E171" s="652"/>
      <c r="F171" s="652"/>
      <c r="G171" s="652"/>
      <c r="H171" s="652"/>
      <c r="I171" s="652"/>
      <c r="J171" s="652"/>
      <c r="K171" s="652"/>
      <c r="L171" s="652"/>
      <c r="M171" s="652"/>
      <c r="N171" s="652"/>
      <c r="O171" s="652"/>
      <c r="P171" s="652"/>
      <c r="Q171" s="652"/>
      <c r="R171" s="652"/>
      <c r="S171" s="652"/>
      <c r="T171" s="652"/>
      <c r="U171" s="652"/>
      <c r="V171" s="652"/>
      <c r="W171" s="652"/>
      <c r="X171" s="652"/>
      <c r="Y171" s="652"/>
      <c r="Z171" s="652"/>
      <c r="AA171" s="652"/>
      <c r="AB171" s="652"/>
      <c r="AC171" s="652"/>
      <c r="AD171" s="652"/>
      <c r="AE171" s="652"/>
      <c r="AF171" s="652"/>
      <c r="AG171" s="652"/>
    </row>
    <row r="172" spans="1:33" hidden="1" x14ac:dyDescent="0.2">
      <c r="A172" s="652"/>
      <c r="B172" s="652"/>
      <c r="C172" s="652"/>
      <c r="D172" s="652"/>
      <c r="E172" s="652"/>
      <c r="F172" s="652"/>
      <c r="G172" s="652"/>
      <c r="H172" s="652"/>
      <c r="I172" s="652"/>
      <c r="J172" s="652"/>
      <c r="K172" s="652"/>
      <c r="L172" s="652"/>
      <c r="M172" s="652"/>
      <c r="N172" s="652"/>
      <c r="O172" s="652"/>
      <c r="P172" s="652"/>
      <c r="Q172" s="652"/>
      <c r="R172" s="652"/>
      <c r="S172" s="652"/>
      <c r="T172" s="652"/>
      <c r="U172" s="652"/>
      <c r="V172" s="652"/>
      <c r="W172" s="652"/>
      <c r="X172" s="652"/>
      <c r="Y172" s="652"/>
      <c r="Z172" s="652"/>
      <c r="AA172" s="652"/>
      <c r="AB172" s="652"/>
      <c r="AC172" s="652"/>
      <c r="AD172" s="652"/>
      <c r="AE172" s="652"/>
      <c r="AF172" s="652"/>
      <c r="AG172" s="652"/>
    </row>
    <row r="173" spans="1:33" hidden="1" x14ac:dyDescent="0.2">
      <c r="A173" s="652"/>
      <c r="B173" s="652"/>
      <c r="C173" s="652"/>
      <c r="D173" s="652"/>
      <c r="E173" s="652"/>
      <c r="F173" s="652"/>
      <c r="G173" s="652"/>
      <c r="H173" s="652"/>
      <c r="I173" s="652"/>
      <c r="J173" s="652"/>
      <c r="K173" s="652"/>
      <c r="L173" s="652"/>
      <c r="M173" s="652"/>
      <c r="N173" s="652"/>
      <c r="O173" s="652"/>
      <c r="P173" s="652"/>
      <c r="Q173" s="652"/>
      <c r="R173" s="652"/>
      <c r="S173" s="652"/>
      <c r="T173" s="652"/>
      <c r="U173" s="652"/>
      <c r="V173" s="652"/>
      <c r="W173" s="652"/>
      <c r="X173" s="652"/>
      <c r="Y173" s="652"/>
      <c r="Z173" s="652"/>
      <c r="AA173" s="652"/>
      <c r="AB173" s="652"/>
      <c r="AC173" s="652"/>
      <c r="AD173" s="652"/>
      <c r="AE173" s="652"/>
      <c r="AF173" s="652"/>
      <c r="AG173" s="652"/>
    </row>
    <row r="174" spans="1:33" hidden="1" x14ac:dyDescent="0.2">
      <c r="A174" s="652"/>
      <c r="B174" s="652"/>
      <c r="C174" s="652"/>
      <c r="D174" s="652"/>
      <c r="E174" s="652"/>
      <c r="F174" s="652"/>
      <c r="G174" s="652"/>
      <c r="H174" s="652"/>
      <c r="I174" s="652"/>
      <c r="J174" s="652"/>
      <c r="K174" s="652"/>
      <c r="L174" s="652"/>
      <c r="M174" s="652"/>
      <c r="N174" s="652"/>
      <c r="O174" s="652"/>
      <c r="P174" s="652"/>
      <c r="Q174" s="652"/>
      <c r="R174" s="652"/>
      <c r="S174" s="652"/>
      <c r="T174" s="652"/>
      <c r="U174" s="652"/>
      <c r="V174" s="652"/>
      <c r="W174" s="652"/>
      <c r="X174" s="652"/>
      <c r="Y174" s="652"/>
      <c r="Z174" s="652"/>
      <c r="AA174" s="652"/>
      <c r="AB174" s="652"/>
      <c r="AC174" s="652"/>
      <c r="AD174" s="652"/>
      <c r="AE174" s="652"/>
      <c r="AF174" s="652"/>
      <c r="AG174" s="652"/>
    </row>
    <row r="175" spans="1:33" hidden="1" x14ac:dyDescent="0.2">
      <c r="A175" s="652"/>
      <c r="B175" s="652"/>
      <c r="C175" s="652"/>
      <c r="D175" s="652"/>
      <c r="E175" s="652"/>
      <c r="F175" s="652"/>
      <c r="G175" s="652"/>
      <c r="H175" s="652"/>
      <c r="I175" s="652"/>
      <c r="J175" s="652"/>
      <c r="K175" s="652"/>
      <c r="L175" s="652"/>
      <c r="M175" s="652"/>
      <c r="N175" s="652"/>
      <c r="O175" s="652"/>
      <c r="P175" s="652"/>
      <c r="Q175" s="652"/>
      <c r="R175" s="652"/>
      <c r="S175" s="652"/>
      <c r="T175" s="652"/>
      <c r="U175" s="652"/>
      <c r="V175" s="652"/>
      <c r="W175" s="652"/>
      <c r="X175" s="652"/>
      <c r="Y175" s="652"/>
      <c r="Z175" s="652"/>
      <c r="AA175" s="652"/>
      <c r="AB175" s="652"/>
      <c r="AC175" s="652"/>
      <c r="AD175" s="652"/>
      <c r="AE175" s="652"/>
      <c r="AF175" s="652"/>
      <c r="AG175" s="652"/>
    </row>
    <row r="176" spans="1:33"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row>
    <row r="177" spans="1:33"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row>
    <row r="178" spans="1:33"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row>
    <row r="179" spans="1:33"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row>
    <row r="180" spans="1:33"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row>
    <row r="181" spans="1:33"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row>
    <row r="182" spans="1:33"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row>
    <row r="183" spans="1:33"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row>
    <row r="184" spans="1:33"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row>
    <row r="185" spans="1:33"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row>
    <row r="186" spans="1:33"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row>
    <row r="187" spans="1:33"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row>
    <row r="188" spans="1:33"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row>
    <row r="189" spans="1:33"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row>
    <row r="190" spans="1:33"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row>
    <row r="191" spans="1:33"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row>
    <row r="192" spans="1:33"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row>
    <row r="193" spans="1:33"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row>
    <row r="194" spans="1:33"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row>
    <row r="195" spans="1:33"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row>
    <row r="196" spans="1:33"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row>
    <row r="197" spans="1:33"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row>
    <row r="198" spans="1:33"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row>
    <row r="199" spans="1:33"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row>
    <row r="200" spans="1:33"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row>
    <row r="201" spans="1:33"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row>
    <row r="202" spans="1:33"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row>
    <row r="203" spans="1:33"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row>
    <row r="204" spans="1:33"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row>
    <row r="205" spans="1:33"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row>
    <row r="206" spans="1:33"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row>
    <row r="207" spans="1:33"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row>
    <row r="208" spans="1:33"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row>
    <row r="209" spans="1:33"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row>
    <row r="210" spans="1:33"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row>
    <row r="211" spans="1:33"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row>
    <row r="212" spans="1:33"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row>
    <row r="213" spans="1:33"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row>
    <row r="214" spans="1:33"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row>
    <row r="215" spans="1:33"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row>
    <row r="216" spans="1:33"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row>
    <row r="217" spans="1:33"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row>
    <row r="218" spans="1:33"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row>
    <row r="219" spans="1:33"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row>
    <row r="220" spans="1:33"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row>
    <row r="221" spans="1:33"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row>
    <row r="222" spans="1:33"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row>
    <row r="223" spans="1:33"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row>
    <row r="224" spans="1:33"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row>
    <row r="225" spans="1:33"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row>
    <row r="226" spans="1:33"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row>
    <row r="227" spans="1:33"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row>
    <row r="228" spans="1:33"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row>
    <row r="229" spans="1:33"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row>
    <row r="230" spans="1:33"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row>
    <row r="231" spans="1:33"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row>
    <row r="232" spans="1:33"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row>
    <row r="233" spans="1:33"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row>
    <row r="234" spans="1:33"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row>
    <row r="235" spans="1:33"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row>
    <row r="236" spans="1:33"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row>
    <row r="237" spans="1:33"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row>
    <row r="238" spans="1:33"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row>
    <row r="239" spans="1:33"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row>
    <row r="240" spans="1:33"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row>
    <row r="241" spans="1:33"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row>
    <row r="242" spans="1:33"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row>
    <row r="243" spans="1:33"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row>
    <row r="244" spans="1:33"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row>
    <row r="245" spans="1:33"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row>
    <row r="246" spans="1:33"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row>
    <row r="247" spans="1:33"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row>
    <row r="248" spans="1:33"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row>
    <row r="249" spans="1:33"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row>
    <row r="250" spans="1:33"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row>
    <row r="251" spans="1:33"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row>
    <row r="252" spans="1:33"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row>
    <row r="253" spans="1:33"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row>
    <row r="254" spans="1:33"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row>
    <row r="255" spans="1:33"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row>
    <row r="256" spans="1:33"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row>
    <row r="257" spans="1:33"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row>
    <row r="258" spans="1:33"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row>
    <row r="259" spans="1:33"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row>
    <row r="260" spans="1:33"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row>
    <row r="261" spans="1:33"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row>
    <row r="262" spans="1:33"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row>
    <row r="263" spans="1:33"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row>
    <row r="264" spans="1:33"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row>
    <row r="265" spans="1:33"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row>
    <row r="266" spans="1:33"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row>
    <row r="267" spans="1:33"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row>
    <row r="268" spans="1:33"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row>
    <row r="269" spans="1:33"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row>
    <row r="270" spans="1:33"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row>
    <row r="271" spans="1:33"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row>
    <row r="272" spans="1:33"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row>
    <row r="273" spans="1:33"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row>
    <row r="274" spans="1:33"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row>
    <row r="275" spans="1:33"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row>
    <row r="276" spans="1:33"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row>
    <row r="277" spans="1:33"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row>
    <row r="278" spans="1:33"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row>
    <row r="279" spans="1:33"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row>
    <row r="280" spans="1:33"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row>
    <row r="281" spans="1:33"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row>
    <row r="282" spans="1:33"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row>
    <row r="283" spans="1:33"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row>
    <row r="284" spans="1:33"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row>
    <row r="285" spans="1:33"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row>
    <row r="286" spans="1:33" hidden="1" x14ac:dyDescent="0.2">
      <c r="A286" s="652"/>
      <c r="B286" s="652"/>
      <c r="C286" s="652"/>
      <c r="D286" s="652"/>
      <c r="E286" s="652"/>
      <c r="F286" s="652"/>
      <c r="G286" s="652"/>
      <c r="H286" s="652"/>
      <c r="I286" s="652"/>
      <c r="J286" s="652"/>
      <c r="K286" s="652"/>
      <c r="L286" s="657"/>
      <c r="M286" s="657"/>
      <c r="N286" s="657"/>
      <c r="O286" s="652"/>
      <c r="P286" s="652"/>
      <c r="Q286" s="652"/>
      <c r="R286" s="652"/>
      <c r="S286" s="652"/>
      <c r="T286" s="657"/>
      <c r="U286" s="657"/>
      <c r="V286" s="657"/>
      <c r="W286" s="652"/>
      <c r="X286" s="652"/>
      <c r="Y286" s="652"/>
      <c r="Z286" s="652"/>
      <c r="AA286" s="652"/>
      <c r="AB286" s="652"/>
      <c r="AC286" s="652"/>
      <c r="AD286" s="652"/>
      <c r="AE286" s="652"/>
      <c r="AF286" s="652"/>
      <c r="AG286" s="652"/>
    </row>
    <row r="287" spans="1:33" hidden="1" x14ac:dyDescent="0.2">
      <c r="A287" s="652"/>
      <c r="B287" s="652"/>
      <c r="C287" s="652"/>
      <c r="D287" s="652"/>
      <c r="E287" s="652"/>
      <c r="F287" s="652"/>
      <c r="G287" s="652"/>
      <c r="H287" s="652"/>
      <c r="I287" s="652"/>
      <c r="J287" s="652"/>
      <c r="K287" s="652"/>
      <c r="L287" s="657"/>
      <c r="M287" s="657"/>
      <c r="N287" s="657"/>
      <c r="O287" s="652"/>
      <c r="P287" s="652"/>
      <c r="Q287" s="652"/>
      <c r="R287" s="652"/>
      <c r="S287" s="652"/>
      <c r="T287" s="657"/>
      <c r="U287" s="657"/>
      <c r="V287" s="657"/>
      <c r="W287" s="652"/>
      <c r="X287" s="652"/>
      <c r="Y287" s="652"/>
      <c r="Z287" s="652"/>
      <c r="AA287" s="652"/>
      <c r="AB287" s="652"/>
      <c r="AC287" s="652"/>
      <c r="AD287" s="652"/>
      <c r="AE287" s="652"/>
      <c r="AF287" s="652"/>
      <c r="AG287" s="652"/>
    </row>
    <row r="288" spans="1:33" hidden="1" x14ac:dyDescent="0.2">
      <c r="A288" s="652"/>
      <c r="B288" s="652"/>
      <c r="C288" s="652"/>
      <c r="D288" s="652"/>
      <c r="E288" s="652"/>
      <c r="F288" s="652"/>
      <c r="G288" s="652"/>
      <c r="H288" s="652"/>
      <c r="I288" s="652"/>
      <c r="J288" s="652"/>
      <c r="K288" s="652"/>
      <c r="L288" s="657"/>
      <c r="M288" s="657"/>
      <c r="N288" s="657"/>
      <c r="O288" s="652"/>
      <c r="P288" s="652"/>
      <c r="Q288" s="652"/>
      <c r="R288" s="652"/>
      <c r="S288" s="652"/>
      <c r="T288" s="657"/>
      <c r="U288" s="657"/>
      <c r="V288" s="657"/>
      <c r="W288" s="652"/>
      <c r="X288" s="652"/>
      <c r="Y288" s="652"/>
      <c r="Z288" s="652"/>
      <c r="AA288" s="652"/>
      <c r="AB288" s="652"/>
      <c r="AC288" s="652"/>
      <c r="AD288" s="652"/>
      <c r="AE288" s="652"/>
      <c r="AF288" s="652"/>
      <c r="AG288" s="652"/>
    </row>
    <row r="289" spans="1:33" hidden="1" x14ac:dyDescent="0.2">
      <c r="A289" s="652"/>
      <c r="B289" s="652"/>
      <c r="C289" s="652"/>
      <c r="D289" s="652"/>
      <c r="E289" s="652"/>
      <c r="F289" s="652"/>
      <c r="G289" s="652"/>
      <c r="H289" s="652"/>
      <c r="I289" s="652"/>
      <c r="J289" s="652"/>
      <c r="K289" s="652"/>
      <c r="L289" s="657"/>
      <c r="M289" s="657"/>
      <c r="N289" s="657"/>
      <c r="O289" s="652"/>
      <c r="P289" s="652"/>
      <c r="Q289" s="652"/>
      <c r="R289" s="652"/>
      <c r="S289" s="652"/>
      <c r="T289" s="657"/>
      <c r="U289" s="657"/>
      <c r="V289" s="657"/>
      <c r="W289" s="652"/>
      <c r="X289" s="652"/>
      <c r="Y289" s="652"/>
      <c r="Z289" s="652"/>
      <c r="AA289" s="652"/>
      <c r="AB289" s="652"/>
      <c r="AC289" s="652"/>
      <c r="AD289" s="652"/>
      <c r="AE289" s="652"/>
      <c r="AF289" s="652"/>
      <c r="AG289" s="652"/>
    </row>
    <row r="290" spans="1:33" hidden="1" x14ac:dyDescent="0.2">
      <c r="A290" s="652"/>
      <c r="B290" s="652"/>
      <c r="C290" s="652"/>
      <c r="D290" s="652"/>
      <c r="E290" s="652"/>
      <c r="F290" s="652"/>
      <c r="G290" s="652"/>
      <c r="H290" s="652"/>
      <c r="I290" s="652"/>
      <c r="J290" s="652"/>
      <c r="K290" s="652"/>
      <c r="L290" s="657"/>
      <c r="M290" s="657"/>
      <c r="N290" s="657"/>
      <c r="O290" s="652"/>
      <c r="P290" s="652"/>
      <c r="Q290" s="652"/>
      <c r="R290" s="652"/>
      <c r="S290" s="652"/>
      <c r="T290" s="657"/>
      <c r="U290" s="657"/>
      <c r="V290" s="657"/>
      <c r="W290" s="652"/>
      <c r="X290" s="652"/>
      <c r="Y290" s="652"/>
      <c r="Z290" s="652"/>
      <c r="AA290" s="652"/>
      <c r="AB290" s="652"/>
      <c r="AC290" s="652"/>
      <c r="AD290" s="652"/>
      <c r="AE290" s="652"/>
      <c r="AF290" s="652"/>
      <c r="AG290" s="652"/>
    </row>
    <row r="291" spans="1:33" hidden="1" x14ac:dyDescent="0.2">
      <c r="A291" s="652"/>
      <c r="B291" s="652"/>
      <c r="C291" s="652"/>
      <c r="D291" s="652"/>
      <c r="E291" s="652"/>
      <c r="F291" s="652"/>
      <c r="G291" s="652"/>
      <c r="H291" s="652"/>
      <c r="I291" s="652"/>
      <c r="J291" s="652"/>
      <c r="K291" s="652"/>
      <c r="L291" s="657"/>
      <c r="M291" s="657"/>
      <c r="N291" s="657"/>
      <c r="O291" s="652"/>
      <c r="P291" s="652"/>
      <c r="Q291" s="652"/>
      <c r="R291" s="652"/>
      <c r="S291" s="652"/>
      <c r="T291" s="657"/>
      <c r="U291" s="657"/>
      <c r="V291" s="657"/>
      <c r="W291" s="652"/>
      <c r="X291" s="652"/>
      <c r="Y291" s="652"/>
      <c r="Z291" s="652"/>
      <c r="AA291" s="652"/>
      <c r="AB291" s="652"/>
      <c r="AC291" s="652"/>
      <c r="AD291" s="652"/>
      <c r="AE291" s="652"/>
      <c r="AF291" s="652"/>
      <c r="AG291" s="652"/>
    </row>
    <row r="292" spans="1:33" hidden="1" x14ac:dyDescent="0.2">
      <c r="A292" s="652"/>
      <c r="B292" s="652"/>
      <c r="C292" s="652"/>
      <c r="D292" s="652"/>
      <c r="E292" s="652"/>
      <c r="F292" s="652"/>
      <c r="G292" s="652"/>
      <c r="H292" s="652"/>
      <c r="I292" s="652"/>
      <c r="J292" s="652"/>
      <c r="K292" s="652"/>
      <c r="L292" s="657"/>
      <c r="M292" s="657"/>
      <c r="N292" s="657"/>
      <c r="O292" s="652"/>
      <c r="P292" s="652"/>
      <c r="Q292" s="652"/>
      <c r="R292" s="652"/>
      <c r="S292" s="652"/>
      <c r="T292" s="657"/>
      <c r="U292" s="657"/>
      <c r="V292" s="657"/>
      <c r="W292" s="652"/>
      <c r="X292" s="652"/>
      <c r="Y292" s="652"/>
      <c r="Z292" s="652"/>
      <c r="AA292" s="652"/>
      <c r="AB292" s="652"/>
      <c r="AC292" s="652"/>
      <c r="AD292" s="652"/>
      <c r="AE292" s="652"/>
      <c r="AF292" s="652"/>
      <c r="AG292" s="652"/>
    </row>
    <row r="293" spans="1:33" hidden="1" x14ac:dyDescent="0.2">
      <c r="A293" s="652"/>
      <c r="B293" s="652"/>
      <c r="C293" s="652"/>
      <c r="D293" s="652"/>
      <c r="E293" s="652"/>
      <c r="F293" s="652"/>
      <c r="G293" s="652"/>
      <c r="H293" s="652"/>
      <c r="I293" s="652"/>
      <c r="J293" s="652"/>
      <c r="K293" s="652"/>
      <c r="L293" s="657"/>
      <c r="M293" s="657"/>
      <c r="N293" s="657"/>
      <c r="O293" s="652"/>
      <c r="P293" s="652"/>
      <c r="Q293" s="652"/>
      <c r="R293" s="652"/>
      <c r="S293" s="652"/>
      <c r="T293" s="657"/>
      <c r="U293" s="657"/>
      <c r="V293" s="657"/>
      <c r="W293" s="652"/>
      <c r="X293" s="652"/>
      <c r="Y293" s="652"/>
      <c r="Z293" s="652"/>
      <c r="AA293" s="652"/>
      <c r="AB293" s="652"/>
      <c r="AC293" s="652"/>
      <c r="AD293" s="652"/>
      <c r="AE293" s="652"/>
      <c r="AF293" s="652"/>
      <c r="AG293" s="652"/>
    </row>
    <row r="294" spans="1:33" hidden="1" x14ac:dyDescent="0.2">
      <c r="A294" s="652"/>
      <c r="B294" s="652"/>
      <c r="C294" s="652"/>
      <c r="D294" s="652"/>
      <c r="E294" s="652"/>
      <c r="F294" s="652"/>
      <c r="G294" s="652"/>
      <c r="H294" s="652"/>
      <c r="I294" s="652"/>
      <c r="J294" s="652"/>
      <c r="K294" s="652"/>
      <c r="L294" s="657"/>
      <c r="M294" s="657"/>
      <c r="N294" s="657"/>
      <c r="O294" s="652"/>
      <c r="P294" s="652"/>
      <c r="Q294" s="652"/>
      <c r="R294" s="652"/>
      <c r="S294" s="652"/>
      <c r="T294" s="657"/>
      <c r="U294" s="657"/>
      <c r="V294" s="657"/>
      <c r="W294" s="652"/>
      <c r="X294" s="652"/>
      <c r="Y294" s="652"/>
      <c r="Z294" s="652"/>
      <c r="AA294" s="652"/>
      <c r="AB294" s="652"/>
      <c r="AC294" s="652"/>
      <c r="AD294" s="652"/>
      <c r="AE294" s="652"/>
      <c r="AF294" s="652"/>
      <c r="AG294" s="652"/>
    </row>
    <row r="295" spans="1:33" hidden="1" x14ac:dyDescent="0.2">
      <c r="A295" s="652"/>
      <c r="B295" s="652"/>
      <c r="C295" s="652"/>
      <c r="D295" s="652"/>
      <c r="E295" s="652"/>
      <c r="F295" s="652"/>
      <c r="G295" s="652"/>
      <c r="H295" s="652"/>
      <c r="I295" s="652"/>
      <c r="J295" s="652"/>
      <c r="K295" s="652"/>
      <c r="L295" s="657"/>
      <c r="M295" s="657"/>
      <c r="N295" s="657"/>
      <c r="O295" s="652"/>
      <c r="P295" s="652"/>
      <c r="Q295" s="652"/>
      <c r="R295" s="652"/>
      <c r="S295" s="652"/>
      <c r="T295" s="657"/>
      <c r="U295" s="657"/>
      <c r="V295" s="657"/>
      <c r="W295" s="652"/>
      <c r="X295" s="652"/>
      <c r="Y295" s="652"/>
      <c r="Z295" s="652"/>
      <c r="AA295" s="652"/>
      <c r="AB295" s="652"/>
      <c r="AC295" s="652"/>
      <c r="AD295" s="652"/>
      <c r="AE295" s="652"/>
      <c r="AF295" s="652"/>
      <c r="AG295" s="652"/>
    </row>
    <row r="296" spans="1:33" hidden="1" x14ac:dyDescent="0.2">
      <c r="A296" s="652"/>
      <c r="B296" s="652"/>
      <c r="C296" s="652"/>
      <c r="D296" s="652"/>
      <c r="E296" s="652"/>
      <c r="F296" s="652"/>
      <c r="G296" s="652"/>
      <c r="H296" s="652"/>
      <c r="I296" s="652"/>
      <c r="J296" s="652"/>
      <c r="K296" s="652"/>
      <c r="L296" s="657"/>
      <c r="M296" s="657"/>
      <c r="N296" s="657"/>
      <c r="O296" s="652"/>
      <c r="P296" s="652"/>
      <c r="Q296" s="652"/>
      <c r="R296" s="652"/>
      <c r="S296" s="652"/>
      <c r="T296" s="657"/>
      <c r="U296" s="657"/>
      <c r="V296" s="657"/>
      <c r="W296" s="652"/>
      <c r="X296" s="652"/>
      <c r="Y296" s="652"/>
      <c r="Z296" s="652"/>
      <c r="AA296" s="652"/>
      <c r="AB296" s="652"/>
      <c r="AC296" s="652"/>
      <c r="AD296" s="652"/>
      <c r="AE296" s="652"/>
      <c r="AF296" s="652"/>
      <c r="AG296" s="652"/>
    </row>
    <row r="297" spans="1:33" hidden="1" x14ac:dyDescent="0.2">
      <c r="A297" s="652"/>
      <c r="B297" s="652"/>
      <c r="C297" s="652"/>
      <c r="D297" s="652"/>
      <c r="E297" s="652"/>
      <c r="F297" s="652"/>
      <c r="G297" s="652"/>
      <c r="H297" s="652"/>
      <c r="I297" s="652"/>
      <c r="J297" s="652"/>
      <c r="K297" s="652"/>
      <c r="L297" s="657"/>
      <c r="M297" s="657"/>
      <c r="N297" s="657"/>
      <c r="O297" s="652"/>
      <c r="P297" s="652"/>
      <c r="Q297" s="652"/>
      <c r="R297" s="652"/>
      <c r="S297" s="652"/>
      <c r="T297" s="657"/>
      <c r="U297" s="657"/>
      <c r="V297" s="657"/>
      <c r="W297" s="652"/>
      <c r="X297" s="652"/>
      <c r="Y297" s="652"/>
      <c r="Z297" s="652"/>
      <c r="AA297" s="652"/>
      <c r="AB297" s="652"/>
      <c r="AC297" s="652"/>
      <c r="AD297" s="652"/>
      <c r="AE297" s="652"/>
      <c r="AF297" s="652"/>
      <c r="AG297" s="652"/>
    </row>
    <row r="298" spans="1:33" x14ac:dyDescent="0.2">
      <c r="A298" s="652"/>
      <c r="B298" s="652"/>
      <c r="C298" s="652"/>
      <c r="D298" s="652"/>
      <c r="E298" s="652"/>
      <c r="F298" s="652"/>
      <c r="G298" s="652"/>
      <c r="H298" s="652"/>
      <c r="I298" s="652"/>
      <c r="J298" s="652"/>
      <c r="K298" s="652"/>
      <c r="L298" s="657"/>
      <c r="M298" s="657"/>
      <c r="N298" s="657"/>
      <c r="O298" s="652"/>
      <c r="P298" s="652"/>
      <c r="Q298" s="652"/>
      <c r="R298" s="652"/>
      <c r="S298" s="652"/>
      <c r="T298" s="657"/>
      <c r="U298" s="657"/>
      <c r="V298" s="657"/>
      <c r="W298" s="652"/>
      <c r="X298" s="652"/>
      <c r="Y298" s="652"/>
      <c r="Z298" s="652"/>
      <c r="AA298" s="652"/>
      <c r="AB298" s="652"/>
      <c r="AC298" s="652"/>
      <c r="AD298" s="652"/>
      <c r="AE298" s="652"/>
      <c r="AF298" s="652"/>
      <c r="AG298" s="652"/>
    </row>
    <row r="299" spans="1:33" x14ac:dyDescent="0.2">
      <c r="A299" s="652"/>
      <c r="B299" s="652"/>
      <c r="C299" s="697" t="s">
        <v>182</v>
      </c>
      <c r="D299" s="698"/>
      <c r="E299" s="698"/>
      <c r="F299" s="652"/>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row>
    <row r="300" spans="1:33" x14ac:dyDescent="0.2">
      <c r="A300" s="699">
        <v>1</v>
      </c>
      <c r="B300" s="700" t="str">
        <f>IFERROR(INDEX(B$1:B$100,MATCH(A300,A$1:A$100,0)),"")</f>
        <v>Matti Vinni</v>
      </c>
      <c r="C300" s="701">
        <f>IF(21-A300&gt;0,IF(OR(A300=A301,A299=A300),21-A300-0.5,21-A300),1)</f>
        <v>20</v>
      </c>
      <c r="D300" s="702"/>
      <c r="E300" s="702"/>
      <c r="F300" s="652"/>
      <c r="G300" s="652"/>
      <c r="H300" s="652"/>
      <c r="I300" s="652"/>
      <c r="J300" s="652"/>
      <c r="K300" s="652"/>
      <c r="L300" s="652"/>
      <c r="M300" s="652"/>
      <c r="N300" s="652"/>
      <c r="O300" s="652"/>
      <c r="P300" s="652"/>
      <c r="Q300" s="652"/>
      <c r="R300" s="652"/>
      <c r="S300" s="652"/>
      <c r="T300" s="652"/>
      <c r="U300" s="652"/>
      <c r="V300" s="652"/>
      <c r="W300" s="652"/>
      <c r="X300" s="652"/>
      <c r="Y300" s="652"/>
      <c r="Z300" s="652"/>
      <c r="AA300" s="652"/>
      <c r="AB300" s="652"/>
      <c r="AC300" s="652"/>
      <c r="AD300" s="652"/>
      <c r="AE300" s="652"/>
      <c r="AF300" s="652"/>
      <c r="AG300" s="652"/>
    </row>
    <row r="301" spans="1:33" x14ac:dyDescent="0.2">
      <c r="A301" s="699">
        <v>2</v>
      </c>
      <c r="B301" s="700" t="str">
        <f t="shared" ref="B301:B323" si="12">IFERROR(INDEX(B$1:B$100,MATCH(A301,A$1:A$100,0)),"")</f>
        <v>Andrei Grintšak</v>
      </c>
      <c r="C301" s="701">
        <f t="shared" ref="C301:C319" si="13">IF(21-A301&gt;0,IF(OR(A301=A302,A300=A301),21-A301-0.5,21-A301),1)</f>
        <v>19</v>
      </c>
      <c r="D301" s="653"/>
      <c r="E301" s="653"/>
      <c r="F301" s="652"/>
      <c r="G301" s="652"/>
      <c r="H301" s="652"/>
      <c r="I301" s="652"/>
      <c r="J301" s="652"/>
      <c r="K301" s="652"/>
      <c r="L301" s="652"/>
      <c r="M301" s="652"/>
      <c r="N301" s="652"/>
      <c r="O301" s="652"/>
      <c r="P301" s="652"/>
      <c r="Q301" s="652"/>
      <c r="R301" s="652"/>
      <c r="S301" s="652"/>
      <c r="T301" s="652"/>
      <c r="U301" s="652"/>
      <c r="V301" s="652"/>
      <c r="W301" s="703"/>
      <c r="X301" s="652"/>
      <c r="Y301" s="652"/>
      <c r="Z301" s="652"/>
      <c r="AA301" s="652"/>
      <c r="AB301" s="652"/>
      <c r="AC301" s="652"/>
      <c r="AD301" s="652"/>
      <c r="AE301" s="652"/>
      <c r="AF301" s="652"/>
      <c r="AG301" s="652"/>
    </row>
    <row r="302" spans="1:33" x14ac:dyDescent="0.2">
      <c r="A302" s="699">
        <v>3</v>
      </c>
      <c r="B302" s="700" t="str">
        <f t="shared" si="12"/>
        <v>Janek Tarto</v>
      </c>
      <c r="C302" s="701">
        <f t="shared" si="13"/>
        <v>18</v>
      </c>
      <c r="D302" s="653"/>
      <c r="E302" s="653"/>
      <c r="F302" s="652"/>
      <c r="G302" s="652"/>
      <c r="H302" s="652"/>
      <c r="I302" s="652"/>
      <c r="J302" s="652"/>
      <c r="K302" s="652"/>
      <c r="L302" s="652"/>
      <c r="M302" s="652"/>
      <c r="N302" s="652"/>
      <c r="O302" s="652"/>
      <c r="P302" s="652"/>
      <c r="Q302" s="652"/>
      <c r="R302" s="652"/>
      <c r="S302" s="652"/>
      <c r="T302" s="652"/>
      <c r="U302" s="652"/>
      <c r="V302" s="652"/>
      <c r="W302" s="652"/>
      <c r="X302" s="652"/>
      <c r="Y302" s="652"/>
      <c r="Z302" s="652"/>
      <c r="AA302" s="652"/>
      <c r="AB302" s="652"/>
      <c r="AC302" s="652"/>
      <c r="AD302" s="652"/>
      <c r="AE302" s="652"/>
      <c r="AF302" s="652"/>
      <c r="AG302" s="652"/>
    </row>
    <row r="303" spans="1:33" x14ac:dyDescent="0.2">
      <c r="A303" s="699">
        <v>4</v>
      </c>
      <c r="B303" s="700" t="str">
        <f t="shared" si="12"/>
        <v>Henri Mitt</v>
      </c>
      <c r="C303" s="701">
        <f t="shared" si="13"/>
        <v>17</v>
      </c>
      <c r="D303" s="653"/>
      <c r="E303" s="653"/>
      <c r="F303" s="652"/>
      <c r="G303" s="652"/>
      <c r="H303" s="652"/>
      <c r="I303" s="652"/>
      <c r="J303" s="652"/>
      <c r="K303" s="652"/>
      <c r="L303" s="652"/>
      <c r="M303" s="652"/>
      <c r="N303" s="652"/>
      <c r="O303" s="652"/>
      <c r="P303" s="652"/>
      <c r="Q303" s="652"/>
      <c r="R303" s="652"/>
      <c r="S303" s="652"/>
      <c r="T303" s="652"/>
      <c r="U303" s="652"/>
      <c r="V303" s="652"/>
      <c r="W303" s="652"/>
      <c r="X303" s="652"/>
      <c r="Y303" s="652"/>
      <c r="Z303" s="652"/>
      <c r="AA303" s="652"/>
      <c r="AB303" s="652"/>
      <c r="AC303" s="652"/>
      <c r="AD303" s="652"/>
      <c r="AE303" s="652"/>
      <c r="AF303" s="652"/>
      <c r="AG303" s="652"/>
    </row>
    <row r="304" spans="1:33" x14ac:dyDescent="0.2">
      <c r="A304" s="699">
        <v>5</v>
      </c>
      <c r="B304" s="700" t="str">
        <f t="shared" si="12"/>
        <v>Elmo Lageda</v>
      </c>
      <c r="C304" s="701">
        <f t="shared" si="13"/>
        <v>16</v>
      </c>
      <c r="D304" s="653"/>
      <c r="E304" s="653"/>
      <c r="F304" s="652"/>
      <c r="G304" s="652"/>
      <c r="H304" s="652"/>
      <c r="I304" s="652"/>
      <c r="J304" s="652"/>
      <c r="K304" s="652"/>
      <c r="L304" s="652"/>
      <c r="M304" s="652"/>
      <c r="N304" s="652"/>
      <c r="O304" s="652"/>
      <c r="P304" s="652"/>
      <c r="Q304" s="652"/>
      <c r="R304" s="652"/>
      <c r="S304" s="652"/>
      <c r="T304" s="652"/>
      <c r="U304" s="652"/>
      <c r="V304" s="652"/>
      <c r="W304" s="652"/>
      <c r="X304" s="652"/>
      <c r="Y304" s="652"/>
      <c r="Z304" s="652"/>
      <c r="AA304" s="652"/>
      <c r="AB304" s="652"/>
      <c r="AC304" s="652"/>
      <c r="AD304" s="652"/>
      <c r="AE304" s="652"/>
      <c r="AF304" s="652"/>
      <c r="AG304" s="652"/>
    </row>
    <row r="305" spans="1:33" x14ac:dyDescent="0.2">
      <c r="A305" s="699">
        <v>6</v>
      </c>
      <c r="B305" s="700" t="str">
        <f t="shared" si="12"/>
        <v>Jaan Saar</v>
      </c>
      <c r="C305" s="701">
        <f t="shared" si="13"/>
        <v>15</v>
      </c>
      <c r="D305" s="653"/>
      <c r="E305" s="653"/>
      <c r="F305" s="652"/>
      <c r="G305" s="652"/>
      <c r="H305" s="652"/>
      <c r="I305" s="652"/>
      <c r="J305" s="652"/>
      <c r="K305" s="652"/>
      <c r="L305" s="652"/>
      <c r="M305" s="652"/>
      <c r="N305" s="652"/>
      <c r="O305" s="652"/>
      <c r="P305" s="652"/>
      <c r="Q305" s="652"/>
      <c r="R305" s="652"/>
      <c r="S305" s="652"/>
      <c r="T305" s="652"/>
      <c r="U305" s="652"/>
      <c r="V305" s="652"/>
      <c r="W305" s="652"/>
      <c r="X305" s="652"/>
      <c r="Y305" s="652"/>
      <c r="Z305" s="652"/>
      <c r="AA305" s="652"/>
      <c r="AB305" s="652"/>
      <c r="AC305" s="652"/>
      <c r="AD305" s="652"/>
      <c r="AE305" s="652"/>
      <c r="AF305" s="652"/>
      <c r="AG305" s="652"/>
    </row>
    <row r="306" spans="1:33" x14ac:dyDescent="0.2">
      <c r="A306" s="699">
        <v>7</v>
      </c>
      <c r="B306" s="700" t="str">
        <f t="shared" si="12"/>
        <v>Ivar Viljaste</v>
      </c>
      <c r="C306" s="701">
        <f t="shared" si="13"/>
        <v>14</v>
      </c>
      <c r="D306" s="653"/>
      <c r="E306" s="653"/>
      <c r="F306" s="652"/>
      <c r="G306" s="652"/>
      <c r="H306" s="652"/>
      <c r="I306" s="652"/>
      <c r="J306" s="652"/>
      <c r="K306" s="652"/>
      <c r="L306" s="652"/>
      <c r="M306" s="652"/>
      <c r="N306" s="652"/>
      <c r="O306" s="652"/>
      <c r="P306" s="652"/>
      <c r="Q306" s="652"/>
      <c r="R306" s="652"/>
      <c r="S306" s="652"/>
      <c r="T306" s="652"/>
      <c r="U306" s="652"/>
      <c r="V306" s="652"/>
      <c r="W306" s="703"/>
      <c r="X306" s="652"/>
      <c r="Y306" s="652"/>
      <c r="Z306" s="652"/>
      <c r="AA306" s="652"/>
      <c r="AB306" s="652"/>
      <c r="AC306" s="652"/>
      <c r="AD306" s="652"/>
      <c r="AE306" s="652"/>
      <c r="AF306" s="652"/>
      <c r="AG306" s="652"/>
    </row>
    <row r="307" spans="1:33" x14ac:dyDescent="0.2">
      <c r="A307" s="699">
        <v>8</v>
      </c>
      <c r="B307" s="700" t="str">
        <f t="shared" si="12"/>
        <v>Oskar Sepp</v>
      </c>
      <c r="C307" s="701">
        <f t="shared" si="13"/>
        <v>13</v>
      </c>
      <c r="D307" s="653"/>
      <c r="E307" s="653"/>
      <c r="F307" s="652"/>
      <c r="G307" s="652"/>
      <c r="H307" s="652"/>
      <c r="I307" s="652"/>
      <c r="J307" s="652"/>
      <c r="K307" s="652"/>
      <c r="L307" s="652"/>
      <c r="M307" s="652"/>
      <c r="N307" s="652"/>
      <c r="O307" s="652"/>
      <c r="P307" s="652"/>
      <c r="Q307" s="652"/>
      <c r="R307" s="652"/>
      <c r="S307" s="652"/>
      <c r="T307" s="652"/>
      <c r="U307" s="652"/>
      <c r="V307" s="652"/>
      <c r="W307" s="652"/>
      <c r="X307" s="652"/>
      <c r="Y307" s="652"/>
      <c r="Z307" s="652"/>
      <c r="AA307" s="652"/>
      <c r="AB307" s="652"/>
      <c r="AC307" s="652"/>
      <c r="AD307" s="652"/>
      <c r="AE307" s="652"/>
      <c r="AF307" s="652"/>
      <c r="AG307" s="652"/>
    </row>
    <row r="308" spans="1:33" x14ac:dyDescent="0.2">
      <c r="A308" s="699">
        <v>9</v>
      </c>
      <c r="B308" s="700" t="str">
        <f t="shared" si="12"/>
        <v>Tarmo Bombe</v>
      </c>
      <c r="C308" s="701">
        <f t="shared" si="13"/>
        <v>12</v>
      </c>
      <c r="D308" s="653"/>
      <c r="E308" s="653"/>
      <c r="F308" s="652"/>
      <c r="G308" s="652"/>
      <c r="H308" s="652"/>
      <c r="I308" s="652"/>
      <c r="J308" s="652"/>
      <c r="K308" s="652"/>
      <c r="L308" s="652"/>
      <c r="M308" s="652"/>
      <c r="N308" s="652"/>
      <c r="O308" s="652"/>
      <c r="P308" s="652"/>
      <c r="Q308" s="652"/>
      <c r="R308" s="652"/>
      <c r="S308" s="652"/>
      <c r="T308" s="652"/>
      <c r="U308" s="652"/>
      <c r="V308" s="652"/>
      <c r="W308" s="652"/>
      <c r="X308" s="652"/>
      <c r="Y308" s="652"/>
      <c r="Z308" s="652"/>
      <c r="AA308" s="652"/>
      <c r="AB308" s="652"/>
      <c r="AC308" s="652"/>
      <c r="AD308" s="652"/>
      <c r="AE308" s="652"/>
      <c r="AF308" s="652"/>
      <c r="AG308" s="652"/>
    </row>
    <row r="309" spans="1:33" x14ac:dyDescent="0.2">
      <c r="A309" s="699">
        <v>10</v>
      </c>
      <c r="B309" s="700" t="str">
        <f t="shared" si="12"/>
        <v>Aarne Välja</v>
      </c>
      <c r="C309" s="701">
        <f t="shared" si="13"/>
        <v>11</v>
      </c>
      <c r="D309" s="653"/>
      <c r="E309" s="653"/>
      <c r="F309" s="652"/>
      <c r="G309" s="652"/>
      <c r="H309" s="652"/>
      <c r="I309" s="652"/>
      <c r="J309" s="652"/>
      <c r="K309" s="652"/>
      <c r="L309" s="652"/>
      <c r="M309" s="652"/>
      <c r="N309" s="652"/>
      <c r="O309" s="652"/>
      <c r="P309" s="652"/>
      <c r="Q309" s="652"/>
      <c r="R309" s="652"/>
      <c r="S309" s="652"/>
      <c r="T309" s="652"/>
      <c r="U309" s="652"/>
      <c r="V309" s="652"/>
      <c r="W309" s="652"/>
      <c r="X309" s="652"/>
      <c r="Y309" s="652"/>
      <c r="Z309" s="652"/>
      <c r="AA309" s="652"/>
      <c r="AB309" s="652"/>
      <c r="AC309" s="652"/>
      <c r="AD309" s="652"/>
      <c r="AE309" s="652"/>
      <c r="AF309" s="652"/>
      <c r="AG309" s="652"/>
    </row>
    <row r="310" spans="1:33" x14ac:dyDescent="0.2">
      <c r="A310" s="699">
        <v>11</v>
      </c>
      <c r="B310" s="700" t="str">
        <f t="shared" si="12"/>
        <v>Svetlana Veski</v>
      </c>
      <c r="C310" s="701">
        <f t="shared" si="13"/>
        <v>10</v>
      </c>
      <c r="D310" s="652"/>
      <c r="E310" s="652"/>
      <c r="F310" s="652"/>
      <c r="G310" s="652"/>
      <c r="H310" s="652"/>
      <c r="I310" s="652"/>
      <c r="J310" s="652"/>
      <c r="K310" s="652"/>
      <c r="L310" s="652"/>
      <c r="M310" s="652"/>
      <c r="N310" s="652"/>
      <c r="O310" s="652"/>
      <c r="P310" s="652"/>
      <c r="Q310" s="652"/>
      <c r="R310" s="652"/>
      <c r="S310" s="652"/>
      <c r="T310" s="652"/>
      <c r="U310" s="652"/>
      <c r="V310" s="652"/>
      <c r="W310" s="652"/>
      <c r="X310" s="652"/>
      <c r="Y310" s="652"/>
      <c r="Z310" s="652"/>
      <c r="AA310" s="652"/>
      <c r="AB310" s="652"/>
      <c r="AC310" s="652"/>
      <c r="AD310" s="652"/>
      <c r="AE310" s="652"/>
      <c r="AF310" s="652"/>
      <c r="AG310" s="652"/>
    </row>
    <row r="311" spans="1:33" x14ac:dyDescent="0.2">
      <c r="A311" s="699">
        <v>12</v>
      </c>
      <c r="B311" s="700" t="str">
        <f t="shared" si="12"/>
        <v>Oleg Rõndenkov</v>
      </c>
      <c r="C311" s="701">
        <f t="shared" si="13"/>
        <v>9</v>
      </c>
      <c r="D311" s="652"/>
      <c r="E311" s="652"/>
      <c r="F311" s="652"/>
      <c r="G311" s="652"/>
      <c r="H311" s="652"/>
      <c r="I311" s="652"/>
      <c r="J311" s="652"/>
      <c r="K311" s="652"/>
      <c r="L311" s="652"/>
      <c r="M311" s="652"/>
      <c r="N311" s="652"/>
      <c r="O311" s="652"/>
      <c r="P311" s="652"/>
      <c r="Q311" s="652"/>
      <c r="R311" s="652"/>
      <c r="S311" s="652"/>
      <c r="T311" s="652"/>
      <c r="U311" s="652"/>
      <c r="V311" s="652"/>
      <c r="W311" s="652"/>
      <c r="X311" s="652"/>
      <c r="Y311" s="652"/>
      <c r="Z311" s="652"/>
      <c r="AA311" s="652"/>
      <c r="AB311" s="652"/>
      <c r="AC311" s="652"/>
      <c r="AD311" s="652"/>
      <c r="AE311" s="652"/>
      <c r="AF311" s="652"/>
      <c r="AG311" s="652"/>
    </row>
    <row r="312" spans="1:33" x14ac:dyDescent="0.2">
      <c r="A312" s="699">
        <v>13</v>
      </c>
      <c r="B312" s="700" t="str">
        <f t="shared" si="12"/>
        <v>Andres Veski</v>
      </c>
      <c r="C312" s="701">
        <f t="shared" si="13"/>
        <v>8</v>
      </c>
      <c r="D312" s="652"/>
      <c r="E312" s="652"/>
      <c r="F312" s="652"/>
      <c r="G312" s="652"/>
      <c r="H312" s="652"/>
      <c r="I312" s="652"/>
      <c r="J312" s="652"/>
      <c r="K312" s="652"/>
      <c r="L312" s="652"/>
      <c r="M312" s="652"/>
      <c r="N312" s="652"/>
      <c r="O312" s="652"/>
      <c r="P312" s="652"/>
      <c r="Q312" s="652"/>
      <c r="R312" s="652"/>
      <c r="S312" s="652"/>
      <c r="T312" s="652"/>
      <c r="U312" s="652"/>
      <c r="V312" s="652"/>
      <c r="W312" s="652"/>
      <c r="X312" s="652"/>
      <c r="Y312" s="652"/>
      <c r="Z312" s="652"/>
      <c r="AA312" s="652"/>
      <c r="AB312" s="652"/>
      <c r="AC312" s="652"/>
      <c r="AD312" s="652"/>
      <c r="AE312" s="652"/>
      <c r="AF312" s="652"/>
      <c r="AG312" s="652"/>
    </row>
    <row r="313" spans="1:33" x14ac:dyDescent="0.2">
      <c r="A313" s="699">
        <v>14</v>
      </c>
      <c r="B313" s="700" t="str">
        <f t="shared" si="12"/>
        <v>Vello Vasser</v>
      </c>
      <c r="C313" s="701">
        <f t="shared" si="13"/>
        <v>7</v>
      </c>
    </row>
    <row r="314" spans="1:33" x14ac:dyDescent="0.2">
      <c r="A314" s="699">
        <v>15</v>
      </c>
      <c r="B314" s="700" t="str">
        <f t="shared" si="12"/>
        <v>Urmas Randlaine</v>
      </c>
      <c r="C314" s="701">
        <f t="shared" si="13"/>
        <v>6</v>
      </c>
    </row>
    <row r="315" spans="1:33" x14ac:dyDescent="0.2">
      <c r="A315" s="699">
        <v>16</v>
      </c>
      <c r="B315" s="700" t="str">
        <f t="shared" si="12"/>
        <v>Jaan Sepp</v>
      </c>
      <c r="C315" s="701">
        <f t="shared" si="13"/>
        <v>5</v>
      </c>
    </row>
    <row r="316" spans="1:33" x14ac:dyDescent="0.2">
      <c r="A316" s="699">
        <v>17</v>
      </c>
      <c r="B316" s="700" t="str">
        <f t="shared" si="12"/>
        <v>Kenneth Muusikus</v>
      </c>
      <c r="C316" s="701">
        <f t="shared" si="13"/>
        <v>4</v>
      </c>
    </row>
    <row r="317" spans="1:33" x14ac:dyDescent="0.2">
      <c r="A317" s="699">
        <v>18</v>
      </c>
      <c r="B317" s="700" t="str">
        <f t="shared" si="12"/>
        <v>Oksana Rõndenkova</v>
      </c>
      <c r="C317" s="701">
        <f t="shared" si="13"/>
        <v>3</v>
      </c>
    </row>
    <row r="318" spans="1:33" x14ac:dyDescent="0.2">
      <c r="A318" s="699">
        <v>19</v>
      </c>
      <c r="B318" s="700" t="str">
        <f t="shared" si="12"/>
        <v>Vladimir Ogneštšikov</v>
      </c>
      <c r="C318" s="701">
        <f t="shared" si="13"/>
        <v>2</v>
      </c>
    </row>
    <row r="319" spans="1:33" x14ac:dyDescent="0.2">
      <c r="A319" s="699">
        <v>20</v>
      </c>
      <c r="B319" s="700" t="str">
        <f t="shared" si="12"/>
        <v>Meelis Luud</v>
      </c>
      <c r="C319" s="701">
        <f t="shared" si="13"/>
        <v>1</v>
      </c>
    </row>
    <row r="320" spans="1:33" x14ac:dyDescent="0.2">
      <c r="A320" s="699">
        <v>21</v>
      </c>
      <c r="B320" s="700" t="str">
        <f t="shared" si="12"/>
        <v>Mait Metsla</v>
      </c>
      <c r="C320" s="701">
        <f>IF(21-A320&gt;0,IF(OR(A320=A321,A319=A320),21-A320-0.5,21-A320),1)</f>
        <v>1</v>
      </c>
    </row>
    <row r="321" spans="1:3" x14ac:dyDescent="0.2">
      <c r="A321" s="699">
        <v>22</v>
      </c>
      <c r="B321" s="700" t="str">
        <f t="shared" si="12"/>
        <v>Enn Tokman</v>
      </c>
      <c r="C321" s="701">
        <f>IF(21-A321&gt;0,IF(OR(A321=A322,A320=A321),21-A321-0.5,21-A321),1)</f>
        <v>1</v>
      </c>
    </row>
    <row r="322" spans="1:3" x14ac:dyDescent="0.2">
      <c r="A322" s="699">
        <v>23</v>
      </c>
      <c r="B322" s="700" t="str">
        <f t="shared" si="12"/>
        <v>Kaspar Mänd</v>
      </c>
      <c r="C322" s="701">
        <f>IF(21-A322&gt;0,IF(OR(A322=A323,A321=A322),21-A322-0.5,21-A322),1)</f>
        <v>1</v>
      </c>
    </row>
    <row r="323" spans="1:3" x14ac:dyDescent="0.2">
      <c r="A323" s="699">
        <v>24</v>
      </c>
      <c r="B323" s="700" t="str">
        <f t="shared" si="12"/>
        <v>Illar Tõnurist</v>
      </c>
      <c r="C323" s="701">
        <f>IF(21-A323&gt;0,IF(OR(A323=A324,A322=A323),21-A323-0.5,21-A323),1)</f>
        <v>1</v>
      </c>
    </row>
    <row r="324" spans="1:3" x14ac:dyDescent="0.2">
      <c r="A324" s="699">
        <v>25</v>
      </c>
      <c r="B324" s="700" t="str">
        <f t="shared" ref="B324:B327" si="14">IFERROR(INDEX(B$1:B$100,MATCH(A324,A$1:A$100,0)),"")</f>
        <v>Lemmit Toomra</v>
      </c>
      <c r="C324" s="701">
        <f t="shared" ref="C324:C327" si="15">IF(21-A324&gt;0,IF(OR(A324=A325,A323=A324),21-A324-0.5,21-A324),1)</f>
        <v>1</v>
      </c>
    </row>
    <row r="325" spans="1:3" x14ac:dyDescent="0.2">
      <c r="A325" s="699">
        <v>26</v>
      </c>
      <c r="B325" s="700" t="str">
        <f t="shared" si="14"/>
        <v>Tõnu Piik</v>
      </c>
      <c r="C325" s="701">
        <f t="shared" si="15"/>
        <v>1</v>
      </c>
    </row>
    <row r="326" spans="1:3" x14ac:dyDescent="0.2">
      <c r="A326" s="699">
        <v>27</v>
      </c>
      <c r="B326" s="700" t="str">
        <f t="shared" si="14"/>
        <v>Sander Rose</v>
      </c>
      <c r="C326" s="701">
        <f t="shared" si="15"/>
        <v>1</v>
      </c>
    </row>
    <row r="327" spans="1:3" x14ac:dyDescent="0.2">
      <c r="A327" s="699">
        <v>28</v>
      </c>
      <c r="B327" s="700" t="str">
        <f t="shared" si="14"/>
        <v>Karla Purgats</v>
      </c>
      <c r="C327" s="701">
        <f t="shared" si="15"/>
        <v>1</v>
      </c>
    </row>
  </sheetData>
  <conditionalFormatting sqref="A300:A327">
    <cfRule type="duplicateValues" dxfId="145" priority="43"/>
  </conditionalFormatting>
  <conditionalFormatting sqref="B300:B327">
    <cfRule type="expression" dxfId="144" priority="38">
      <formula>A300=3</formula>
    </cfRule>
    <cfRule type="expression" dxfId="143" priority="39">
      <formula>A300=2</formula>
    </cfRule>
    <cfRule type="expression" dxfId="142" priority="40">
      <formula>A300=1</formula>
    </cfRule>
    <cfRule type="containsBlanks" dxfId="141" priority="41">
      <formula>LEN(TRIM(B300))=0</formula>
    </cfRule>
    <cfRule type="duplicateValues" dxfId="140" priority="42"/>
  </conditionalFormatting>
  <conditionalFormatting sqref="A8:A35">
    <cfRule type="duplicateValues" dxfId="139" priority="37"/>
  </conditionalFormatting>
  <conditionalFormatting sqref="C8:C35">
    <cfRule type="expression" dxfId="138" priority="19">
      <formula>IF($C8&gt;$E8,TRUE)</formula>
    </cfRule>
  </conditionalFormatting>
  <conditionalFormatting sqref="E8:E35">
    <cfRule type="expression" dxfId="137" priority="20">
      <formula>IF($C8&lt;$E8,TRUE)</formula>
    </cfRule>
  </conditionalFormatting>
  <conditionalFormatting sqref="K8:K35">
    <cfRule type="expression" dxfId="136" priority="27">
      <formula>IF($K8&gt;$M8,TRUE)</formula>
    </cfRule>
  </conditionalFormatting>
  <conditionalFormatting sqref="M8:M35">
    <cfRule type="expression" dxfId="135" priority="28">
      <formula>IF($K8&lt;$M8,TRUE)</formula>
    </cfRule>
  </conditionalFormatting>
  <conditionalFormatting sqref="O8:O35">
    <cfRule type="expression" dxfId="134" priority="31">
      <formula>IF($O8&gt;$Q8,TRUE)</formula>
    </cfRule>
  </conditionalFormatting>
  <conditionalFormatting sqref="Q8:Q35">
    <cfRule type="expression" dxfId="133" priority="32">
      <formula>IF($O8&lt;$Q8,TRUE)</formula>
    </cfRule>
  </conditionalFormatting>
  <conditionalFormatting sqref="S8:S35">
    <cfRule type="expression" dxfId="132" priority="35">
      <formula>IF($S8&gt;$U8,TRUE)</formula>
    </cfRule>
  </conditionalFormatting>
  <conditionalFormatting sqref="U8:U35">
    <cfRule type="expression" dxfId="131" priority="36">
      <formula>IF($S8&lt;$U8,TRUE)</formula>
    </cfRule>
  </conditionalFormatting>
  <conditionalFormatting sqref="G8:G35">
    <cfRule type="expression" dxfId="130" priority="23">
      <formula>IF($G8&gt;$I8,TRUE)</formula>
    </cfRule>
  </conditionalFormatting>
  <conditionalFormatting sqref="I8:I35">
    <cfRule type="expression" dxfId="129" priority="24">
      <formula>IF($G8&lt;$I8,TRUE)</formula>
    </cfRule>
  </conditionalFormatting>
  <conditionalFormatting sqref="F8:F35">
    <cfRule type="containsText" dxfId="128" priority="10" operator="containsText" text="vaba voor">
      <formula>NOT(ISERROR(SEARCH("vaba voor",F8)))</formula>
    </cfRule>
  </conditionalFormatting>
  <conditionalFormatting sqref="N8:N35">
    <cfRule type="containsText" dxfId="127" priority="8" operator="containsText" text="vaba voor">
      <formula>NOT(ISERROR(SEARCH("vaba voor",N8)))</formula>
    </cfRule>
  </conditionalFormatting>
  <conditionalFormatting sqref="R8:R35">
    <cfRule type="containsText" dxfId="126" priority="11" operator="containsText" text="vaba voor">
      <formula>NOT(ISERROR(SEARCH("vaba voor",R8)))</formula>
    </cfRule>
  </conditionalFormatting>
  <conditionalFormatting sqref="V8:V35">
    <cfRule type="containsText" dxfId="125" priority="7" operator="containsText" text="vaba voor">
      <formula>NOT(ISERROR(SEARCH("vaba voor",V8)))</formula>
    </cfRule>
  </conditionalFormatting>
  <conditionalFormatting sqref="J8:J35">
    <cfRule type="containsText" dxfId="124" priority="9" operator="containsText" text="vaba voor">
      <formula>NOT(ISERROR(SEARCH("vaba voor",J8)))</formula>
    </cfRule>
  </conditionalFormatting>
  <conditionalFormatting sqref="C8:F35">
    <cfRule type="expression" dxfId="123" priority="15">
      <formula>IF(AND(ISNUMBER($C8),$C8=$E8),TRUE)</formula>
    </cfRule>
    <cfRule type="expression" dxfId="122" priority="17">
      <formula>IF($C8&gt;$E8,TRUE)</formula>
    </cfRule>
    <cfRule type="expression" dxfId="121" priority="18">
      <formula>IF($C8&lt;$E8,TRUE)</formula>
    </cfRule>
  </conditionalFormatting>
  <conditionalFormatting sqref="G8:J35">
    <cfRule type="expression" dxfId="120" priority="16">
      <formula>IF(AND(ISNUMBER($G8),$G8=$I8),TRUE)</formula>
    </cfRule>
    <cfRule type="expression" dxfId="119" priority="21">
      <formula>IF($G8&gt;$I8,TRUE)</formula>
    </cfRule>
    <cfRule type="expression" dxfId="118" priority="22">
      <formula>IF($G8&lt;$I8,TRUE)</formula>
    </cfRule>
  </conditionalFormatting>
  <conditionalFormatting sqref="K8:N35">
    <cfRule type="expression" dxfId="117" priority="14">
      <formula>IF(AND(ISNUMBER($K8),$K8=$M8),TRUE)</formula>
    </cfRule>
    <cfRule type="expression" dxfId="116" priority="25">
      <formula>IF($K8&gt;$M8,TRUE)</formula>
    </cfRule>
    <cfRule type="expression" dxfId="115" priority="26">
      <formula>IF($K8&lt;$M8,TRUE)</formula>
    </cfRule>
  </conditionalFormatting>
  <conditionalFormatting sqref="O8:R35">
    <cfRule type="expression" dxfId="114" priority="13">
      <formula>IF(AND(ISNUMBER($O8),$O8=$Q8),TRUE)</formula>
    </cfRule>
    <cfRule type="expression" dxfId="113" priority="29">
      <formula>IF($O8&gt;$Q8,TRUE)</formula>
    </cfRule>
    <cfRule type="expression" dxfId="112" priority="30">
      <formula>IF($O8&lt;$Q8,TRUE)</formula>
    </cfRule>
  </conditionalFormatting>
  <conditionalFormatting sqref="S8:V35">
    <cfRule type="expression" dxfId="111" priority="12">
      <formula>IF(AND(ISNUMBER($S8),$S8=$U8),TRUE)</formula>
    </cfRule>
    <cfRule type="expression" dxfId="110" priority="33">
      <formula>IF($S8&gt;$U8,TRUE)</formula>
    </cfRule>
    <cfRule type="expression" dxfId="109" priority="34">
      <formula>IF($S8&lt;$U8,TRUE)</formula>
    </cfRule>
  </conditionalFormatting>
  <conditionalFormatting sqref="C8:C35 G8:G35 K8:K35 O8:O35 S8:S35">
    <cfRule type="expression" dxfId="108" priority="5">
      <formula>AND(C8=0,E8=13)</formula>
    </cfRule>
  </conditionalFormatting>
  <conditionalFormatting sqref="E8:E35 I8:I35 M8:M35 Q8:Q35 U8:U35">
    <cfRule type="expression" dxfId="107" priority="6">
      <formula>AND(E8=0,C8=13)</formula>
    </cfRule>
  </conditionalFormatting>
  <conditionalFormatting sqref="AE7:AE35">
    <cfRule type="expression" dxfId="106" priority="1">
      <formula>AND(AF7="",COUNTIF(AE7,"*,*")=0)</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Normal="100" workbookViewId="0">
      <selection activeCell="M8" sqref="M8"/>
    </sheetView>
  </sheetViews>
  <sheetFormatPr defaultRowHeight="12.75" x14ac:dyDescent="0.2"/>
  <sheetData/>
  <pageMargins left="0.59055118110236227" right="0.39370078740157483" top="0.78740157480314965" bottom="0.39370078740157483" header="0.59055118110236227" footer="0"/>
  <pageSetup paperSize="9" fitToHeight="0" orientation="portrait" r:id="rId1"/>
  <headerFooter>
    <oddHeader>&amp;R&amp;9Page &amp;P of &amp;N</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23"/>
  <sheetViews>
    <sheetView showGridLine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33.28515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customWidth="1"/>
    <col min="32" max="32" width="12.7109375" customWidth="1"/>
    <col min="33" max="33" width="9.140625" customWidth="1"/>
    <col min="34" max="34" width="13.85546875" customWidth="1"/>
    <col min="35" max="35" width="9.140625" customWidth="1"/>
    <col min="36" max="36" width="17.28515625" customWidth="1"/>
    <col min="37" max="37" width="9.140625" customWidth="1"/>
    <col min="38" max="38" width="13.85546875" customWidth="1"/>
  </cols>
  <sheetData>
    <row r="1" spans="1:39" x14ac:dyDescent="0.2">
      <c r="A1" s="742" t="s">
        <v>437</v>
      </c>
      <c r="B1" s="652"/>
      <c r="C1" s="653"/>
      <c r="D1" s="652"/>
      <c r="E1" s="652"/>
      <c r="F1" s="410" t="str">
        <f>HYPERLINK("#Kalend!I1","Kalender")</f>
        <v>Kalender</v>
      </c>
      <c r="G1" s="410"/>
      <c r="H1" s="410"/>
      <c r="I1" s="410"/>
      <c r="J1" s="654" t="str">
        <f>HYPERLINK("#V!AB1","Reiting")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
        <v>438</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2"/>
      <c r="AE2" s="652"/>
      <c r="AF2" s="652"/>
      <c r="AG2" s="652"/>
      <c r="AH2" s="652"/>
      <c r="AI2" s="652"/>
      <c r="AJ2" s="652"/>
      <c r="AK2" s="652"/>
      <c r="AL2" s="652"/>
      <c r="AM2" s="652"/>
    </row>
    <row r="3" spans="1:39" x14ac:dyDescent="0.2">
      <c r="A3" s="659" t="s">
        <v>439</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
        <v>440</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x14ac:dyDescent="0.2">
      <c r="A8" s="685">
        <v>1</v>
      </c>
      <c r="B8" s="686"/>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708">
        <f t="shared" ref="AD8" si="0">SUM(AE8:AL8)</f>
        <v>0</v>
      </c>
      <c r="AE8" s="709" t="str">
        <f>IFERROR(INDEX(V!R$7:R$62,MATCH(AF8,V!L$7:L$62,0)),"")</f>
        <v/>
      </c>
      <c r="AF8" s="710" t="str">
        <f t="shared" ref="AF8" si="1">IFERROR(LEFT(B8,(FIND(",",B8,1)-1)),"")</f>
        <v/>
      </c>
      <c r="AG8" s="709" t="str">
        <f>IFERROR(INDEX(V!R$7:R$62,MATCH(AH8,V!L$7:L$62,0)),"")</f>
        <v/>
      </c>
      <c r="AH8" s="710" t="str">
        <f t="shared" ref="AH8" si="2">IFERROR(MID(B8,FIND(", ",B8)+2,256),"")</f>
        <v/>
      </c>
      <c r="AI8" s="709" t="str">
        <f>IFERROR(INDEX(V!R$7:R$62,MATCH(AJ8,V!L$7:L$62,0)),"")</f>
        <v/>
      </c>
      <c r="AJ8" s="710" t="str">
        <f t="shared" ref="AJ8" si="3">IFERROR(MID(B8,FIND("^",SUBSTITUTE(B8,", ","^",1))+2,FIND("^",SUBSTITUTE(B8,", ","^",2))-FIND("^",SUBSTITUTE(B8,", ","^",1))-2),"")</f>
        <v/>
      </c>
      <c r="AK8" s="709" t="str">
        <f>IFERROR(INDEX(V!R$7:R$62,MATCH(AL8,V!L$7:L$62,0)),"")</f>
        <v/>
      </c>
      <c r="AL8" s="710" t="str">
        <f t="shared" ref="AL8" si="4">IFERROR(MID(B8,FIND(", ",B8,FIND(", ",B8,FIND(", ",B8))+1)+2,700),"")</f>
        <v/>
      </c>
      <c r="AM8" s="652"/>
    </row>
    <row r="9" spans="1:39" x14ac:dyDescent="0.2">
      <c r="A9" s="685">
        <v>2</v>
      </c>
      <c r="B9" s="686"/>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27" si="5">IF(C9&gt;E9,J$3,IF(C9&lt;E9,J$5,IF(ISNUMBER(C9),J$4,0)))+IF(G9&gt;I9,J$3,IF(G9&lt;I9,J$5,IF(ISNUMBER(G9),J$4,0)))+IF(K9&gt;M9,J$3,IF(K9&lt;M9,J$5,IF(ISNUMBER(K9),J$4,0)))+IF(O9&gt;Q9,J$3,IF(O9&lt;Q9,J$5,IF(ISNUMBER(O9),J$4,0)))+IF(S9&gt;U9,J$3,IF(S9&lt;U9,J$5,IF(ISNUMBER(S9),J$4,0)))</f>
        <v>0</v>
      </c>
      <c r="X9" s="692"/>
      <c r="Y9" s="687">
        <f t="shared" ref="Y9:Y27" si="6">C9+G9+K9+O9+S9</f>
        <v>0</v>
      </c>
      <c r="Z9" s="688" t="s">
        <v>377</v>
      </c>
      <c r="AA9" s="693">
        <f t="shared" ref="AA9:AA27" si="7">E9+I9+M9+Q9+U9</f>
        <v>0</v>
      </c>
      <c r="AB9" s="694">
        <f t="shared" ref="AB9:AB27" si="8">Y9-AA9</f>
        <v>0</v>
      </c>
      <c r="AC9" s="695"/>
      <c r="AD9" s="708">
        <f t="shared" ref="AD9:AD31" si="9">SUM(AE9:AL9)</f>
        <v>0</v>
      </c>
      <c r="AE9" s="709" t="str">
        <f>IFERROR(INDEX(V!R$7:R$62,MATCH(AF9,V!L$7:L$62,0)),"")</f>
        <v/>
      </c>
      <c r="AF9" s="710" t="str">
        <f t="shared" ref="AF9:AF31" si="10">IFERROR(LEFT(B9,(FIND(",",B9,1)-1)),"")</f>
        <v/>
      </c>
      <c r="AG9" s="709" t="str">
        <f>IFERROR(INDEX(V!R$7:R$62,MATCH(AH9,V!L$7:L$62,0)),"")</f>
        <v/>
      </c>
      <c r="AH9" s="710" t="str">
        <f t="shared" ref="AH9:AH31" si="11">IFERROR(MID(B9,FIND(", ",B9)+2,256),"")</f>
        <v/>
      </c>
      <c r="AI9" s="709" t="str">
        <f>IFERROR(INDEX(V!R$7:R$62,MATCH(AJ9,V!L$7:L$62,0)),"")</f>
        <v/>
      </c>
      <c r="AJ9" s="710" t="str">
        <f t="shared" ref="AJ9:AJ31" si="12">IFERROR(MID(B9,FIND("^",SUBSTITUTE(B9,", ","^",1))+2,FIND("^",SUBSTITUTE(B9,", ","^",2))-FIND("^",SUBSTITUTE(B9,", ","^",1))-2),"")</f>
        <v/>
      </c>
      <c r="AK9" s="709" t="str">
        <f>IFERROR(INDEX(V!R$7:R$62,MATCH(AL9,V!L$7:L$62,0)),"")</f>
        <v/>
      </c>
      <c r="AL9" s="710" t="str">
        <f t="shared" ref="AL9:AL31" si="13">IFERROR(MID(B9,FIND(", ",B9,FIND(", ",B9,FIND(", ",B9))+1)+2,700),"")</f>
        <v/>
      </c>
      <c r="AM9" s="652"/>
    </row>
    <row r="10" spans="1:39" x14ac:dyDescent="0.2">
      <c r="A10" s="685">
        <v>3</v>
      </c>
      <c r="B10" s="686"/>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5"/>
        <v>0</v>
      </c>
      <c r="X10" s="692"/>
      <c r="Y10" s="687">
        <f t="shared" si="6"/>
        <v>0</v>
      </c>
      <c r="Z10" s="688" t="s">
        <v>377</v>
      </c>
      <c r="AA10" s="693">
        <f t="shared" si="7"/>
        <v>0</v>
      </c>
      <c r="AB10" s="694">
        <f t="shared" si="8"/>
        <v>0</v>
      </c>
      <c r="AC10" s="695"/>
      <c r="AD10" s="708">
        <f t="shared" si="9"/>
        <v>0</v>
      </c>
      <c r="AE10" s="709" t="str">
        <f>IFERROR(INDEX(V!R$7:R$62,MATCH(AF10,V!L$7:L$62,0)),"")</f>
        <v/>
      </c>
      <c r="AF10" s="710" t="str">
        <f t="shared" si="10"/>
        <v/>
      </c>
      <c r="AG10" s="709" t="str">
        <f>IFERROR(INDEX(V!R$7:R$62,MATCH(AH10,V!L$7:L$62,0)),"")</f>
        <v/>
      </c>
      <c r="AH10" s="710" t="str">
        <f t="shared" si="11"/>
        <v/>
      </c>
      <c r="AI10" s="709" t="str">
        <f>IFERROR(INDEX(V!R$7:R$62,MATCH(AJ10,V!L$7:L$62,0)),"")</f>
        <v/>
      </c>
      <c r="AJ10" s="710" t="str">
        <f t="shared" si="12"/>
        <v/>
      </c>
      <c r="AK10" s="709" t="str">
        <f>IFERROR(INDEX(V!R$7:R$62,MATCH(AL10,V!L$7:L$62,0)),"")</f>
        <v/>
      </c>
      <c r="AL10" s="710" t="str">
        <f t="shared" si="13"/>
        <v/>
      </c>
      <c r="AM10" s="652"/>
    </row>
    <row r="11" spans="1:39" x14ac:dyDescent="0.2">
      <c r="A11" s="685">
        <v>4</v>
      </c>
      <c r="B11" s="686"/>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5"/>
        <v>0</v>
      </c>
      <c r="X11" s="692"/>
      <c r="Y11" s="687">
        <f t="shared" si="6"/>
        <v>0</v>
      </c>
      <c r="Z11" s="688" t="s">
        <v>377</v>
      </c>
      <c r="AA11" s="693">
        <f t="shared" si="7"/>
        <v>0</v>
      </c>
      <c r="AB11" s="694">
        <f t="shared" si="8"/>
        <v>0</v>
      </c>
      <c r="AC11" s="695"/>
      <c r="AD11" s="708">
        <f t="shared" si="9"/>
        <v>0</v>
      </c>
      <c r="AE11" s="709" t="str">
        <f>IFERROR(INDEX(V!R$7:R$62,MATCH(AF11,V!L$7:L$62,0)),"")</f>
        <v/>
      </c>
      <c r="AF11" s="710" t="str">
        <f t="shared" si="10"/>
        <v/>
      </c>
      <c r="AG11" s="709" t="str">
        <f>IFERROR(INDEX(V!R$7:R$62,MATCH(AH11,V!L$7:L$62,0)),"")</f>
        <v/>
      </c>
      <c r="AH11" s="710" t="str">
        <f t="shared" si="11"/>
        <v/>
      </c>
      <c r="AI11" s="709" t="str">
        <f>IFERROR(INDEX(V!R$7:R$62,MATCH(AJ11,V!L$7:L$62,0)),"")</f>
        <v/>
      </c>
      <c r="AJ11" s="710" t="str">
        <f t="shared" si="12"/>
        <v/>
      </c>
      <c r="AK11" s="709" t="str">
        <f>IFERROR(INDEX(V!R$7:R$62,MATCH(AL11,V!L$7:L$62,0)),"")</f>
        <v/>
      </c>
      <c r="AL11" s="710" t="str">
        <f t="shared" si="13"/>
        <v/>
      </c>
      <c r="AM11" s="652"/>
    </row>
    <row r="12" spans="1:39" x14ac:dyDescent="0.2">
      <c r="A12" s="685">
        <v>5</v>
      </c>
      <c r="B12" s="686"/>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5"/>
        <v>0</v>
      </c>
      <c r="X12" s="692"/>
      <c r="Y12" s="687">
        <f t="shared" si="6"/>
        <v>0</v>
      </c>
      <c r="Z12" s="688" t="s">
        <v>377</v>
      </c>
      <c r="AA12" s="693">
        <f t="shared" si="7"/>
        <v>0</v>
      </c>
      <c r="AB12" s="694">
        <f t="shared" si="8"/>
        <v>0</v>
      </c>
      <c r="AC12" s="695"/>
      <c r="AD12" s="708">
        <f t="shared" si="9"/>
        <v>0</v>
      </c>
      <c r="AE12" s="709" t="str">
        <f>IFERROR(INDEX(V!R$7:R$62,MATCH(AF12,V!L$7:L$62,0)),"")</f>
        <v/>
      </c>
      <c r="AF12" s="710" t="str">
        <f t="shared" si="10"/>
        <v/>
      </c>
      <c r="AG12" s="709" t="str">
        <f>IFERROR(INDEX(V!R$7:R$62,MATCH(AH12,V!L$7:L$62,0)),"")</f>
        <v/>
      </c>
      <c r="AH12" s="710" t="str">
        <f t="shared" si="11"/>
        <v/>
      </c>
      <c r="AI12" s="709" t="str">
        <f>IFERROR(INDEX(V!R$7:R$62,MATCH(AJ12,V!L$7:L$62,0)),"")</f>
        <v/>
      </c>
      <c r="AJ12" s="710" t="str">
        <f t="shared" si="12"/>
        <v/>
      </c>
      <c r="AK12" s="709" t="str">
        <f>IFERROR(INDEX(V!R$7:R$62,MATCH(AL12,V!L$7:L$62,0)),"")</f>
        <v/>
      </c>
      <c r="AL12" s="710" t="str">
        <f t="shared" si="13"/>
        <v/>
      </c>
      <c r="AM12" s="652"/>
    </row>
    <row r="13" spans="1:39" x14ac:dyDescent="0.2">
      <c r="A13" s="685">
        <v>6</v>
      </c>
      <c r="B13" s="686"/>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5"/>
        <v>0</v>
      </c>
      <c r="X13" s="692"/>
      <c r="Y13" s="687">
        <f t="shared" si="6"/>
        <v>0</v>
      </c>
      <c r="Z13" s="688" t="s">
        <v>377</v>
      </c>
      <c r="AA13" s="693">
        <f t="shared" si="7"/>
        <v>0</v>
      </c>
      <c r="AB13" s="694">
        <f t="shared" si="8"/>
        <v>0</v>
      </c>
      <c r="AC13" s="695"/>
      <c r="AD13" s="708">
        <f t="shared" si="9"/>
        <v>0</v>
      </c>
      <c r="AE13" s="709" t="str">
        <f>IFERROR(INDEX(V!R$7:R$62,MATCH(AF13,V!L$7:L$62,0)),"")</f>
        <v/>
      </c>
      <c r="AF13" s="710" t="str">
        <f t="shared" si="10"/>
        <v/>
      </c>
      <c r="AG13" s="709" t="str">
        <f>IFERROR(INDEX(V!R$7:R$62,MATCH(AH13,V!L$7:L$62,0)),"")</f>
        <v/>
      </c>
      <c r="AH13" s="710" t="str">
        <f t="shared" si="11"/>
        <v/>
      </c>
      <c r="AI13" s="709" t="str">
        <f>IFERROR(INDEX(V!R$7:R$62,MATCH(AJ13,V!L$7:L$62,0)),"")</f>
        <v/>
      </c>
      <c r="AJ13" s="710" t="str">
        <f t="shared" si="12"/>
        <v/>
      </c>
      <c r="AK13" s="709" t="str">
        <f>IFERROR(INDEX(V!R$7:R$62,MATCH(AL13,V!L$7:L$62,0)),"")</f>
        <v/>
      </c>
      <c r="AL13" s="710" t="str">
        <f t="shared" si="13"/>
        <v/>
      </c>
      <c r="AM13" s="652"/>
    </row>
    <row r="14" spans="1:39" x14ac:dyDescent="0.2">
      <c r="A14" s="685">
        <v>7</v>
      </c>
      <c r="B14" s="696"/>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5"/>
        <v>0</v>
      </c>
      <c r="X14" s="692"/>
      <c r="Y14" s="687">
        <f t="shared" si="6"/>
        <v>0</v>
      </c>
      <c r="Z14" s="688" t="s">
        <v>377</v>
      </c>
      <c r="AA14" s="693">
        <f t="shared" si="7"/>
        <v>0</v>
      </c>
      <c r="AB14" s="694">
        <f t="shared" si="8"/>
        <v>0</v>
      </c>
      <c r="AC14" s="695"/>
      <c r="AD14" s="708">
        <f t="shared" si="9"/>
        <v>0</v>
      </c>
      <c r="AE14" s="709" t="str">
        <f>IFERROR(INDEX(V!R$7:R$62,MATCH(AF14,V!L$7:L$62,0)),"")</f>
        <v/>
      </c>
      <c r="AF14" s="710" t="str">
        <f t="shared" si="10"/>
        <v/>
      </c>
      <c r="AG14" s="709" t="str">
        <f>IFERROR(INDEX(V!R$7:R$62,MATCH(AH14,V!L$7:L$62,0)),"")</f>
        <v/>
      </c>
      <c r="AH14" s="710" t="str">
        <f t="shared" si="11"/>
        <v/>
      </c>
      <c r="AI14" s="709" t="str">
        <f>IFERROR(INDEX(V!R$7:R$62,MATCH(AJ14,V!L$7:L$62,0)),"")</f>
        <v/>
      </c>
      <c r="AJ14" s="710" t="str">
        <f t="shared" si="12"/>
        <v/>
      </c>
      <c r="AK14" s="709" t="str">
        <f>IFERROR(INDEX(V!R$7:R$62,MATCH(AL14,V!L$7:L$62,0)),"")</f>
        <v/>
      </c>
      <c r="AL14" s="710" t="str">
        <f t="shared" si="13"/>
        <v/>
      </c>
      <c r="AM14" s="652"/>
    </row>
    <row r="15" spans="1:39" x14ac:dyDescent="0.2">
      <c r="A15" s="685">
        <v>8</v>
      </c>
      <c r="B15" s="696"/>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5"/>
        <v>0</v>
      </c>
      <c r="X15" s="692"/>
      <c r="Y15" s="687">
        <f t="shared" si="6"/>
        <v>0</v>
      </c>
      <c r="Z15" s="688" t="s">
        <v>377</v>
      </c>
      <c r="AA15" s="693">
        <f t="shared" si="7"/>
        <v>0</v>
      </c>
      <c r="AB15" s="694">
        <f t="shared" si="8"/>
        <v>0</v>
      </c>
      <c r="AC15" s="695"/>
      <c r="AD15" s="708">
        <f t="shared" si="9"/>
        <v>0</v>
      </c>
      <c r="AE15" s="709" t="str">
        <f>IFERROR(INDEX(V!R$7:R$62,MATCH(AF15,V!L$7:L$62,0)),"")</f>
        <v/>
      </c>
      <c r="AF15" s="710" t="str">
        <f t="shared" si="10"/>
        <v/>
      </c>
      <c r="AG15" s="709" t="str">
        <f>IFERROR(INDEX(V!R$7:R$62,MATCH(AH15,V!L$7:L$62,0)),"")</f>
        <v/>
      </c>
      <c r="AH15" s="710" t="str">
        <f t="shared" si="11"/>
        <v/>
      </c>
      <c r="AI15" s="709" t="str">
        <f>IFERROR(INDEX(V!R$7:R$62,MATCH(AJ15,V!L$7:L$62,0)),"")</f>
        <v/>
      </c>
      <c r="AJ15" s="710" t="str">
        <f t="shared" si="12"/>
        <v/>
      </c>
      <c r="AK15" s="709" t="str">
        <f>IFERROR(INDEX(V!R$7:R$62,MATCH(AL15,V!L$7:L$62,0)),"")</f>
        <v/>
      </c>
      <c r="AL15" s="710" t="str">
        <f t="shared" si="13"/>
        <v/>
      </c>
      <c r="AM15" s="652"/>
    </row>
    <row r="16" spans="1:39" x14ac:dyDescent="0.2">
      <c r="A16" s="685">
        <v>9</v>
      </c>
      <c r="B16" s="686"/>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5"/>
        <v>0</v>
      </c>
      <c r="X16" s="692"/>
      <c r="Y16" s="687">
        <f t="shared" si="6"/>
        <v>0</v>
      </c>
      <c r="Z16" s="688" t="s">
        <v>377</v>
      </c>
      <c r="AA16" s="693">
        <f t="shared" si="7"/>
        <v>0</v>
      </c>
      <c r="AB16" s="694">
        <f t="shared" si="8"/>
        <v>0</v>
      </c>
      <c r="AC16" s="695"/>
      <c r="AD16" s="708">
        <f t="shared" si="9"/>
        <v>0</v>
      </c>
      <c r="AE16" s="709" t="str">
        <f>IFERROR(INDEX(V!R$7:R$62,MATCH(AF16,V!L$7:L$62,0)),"")</f>
        <v/>
      </c>
      <c r="AF16" s="710" t="str">
        <f t="shared" si="10"/>
        <v/>
      </c>
      <c r="AG16" s="709" t="str">
        <f>IFERROR(INDEX(V!R$7:R$62,MATCH(AH16,V!L$7:L$62,0)),"")</f>
        <v/>
      </c>
      <c r="AH16" s="710" t="str">
        <f t="shared" si="11"/>
        <v/>
      </c>
      <c r="AI16" s="709" t="str">
        <f>IFERROR(INDEX(V!R$7:R$62,MATCH(AJ16,V!L$7:L$62,0)),"")</f>
        <v/>
      </c>
      <c r="AJ16" s="710" t="str">
        <f t="shared" si="12"/>
        <v/>
      </c>
      <c r="AK16" s="709" t="str">
        <f>IFERROR(INDEX(V!R$7:R$62,MATCH(AL16,V!L$7:L$62,0)),"")</f>
        <v/>
      </c>
      <c r="AL16" s="710" t="str">
        <f t="shared" si="13"/>
        <v/>
      </c>
      <c r="AM16" s="652"/>
    </row>
    <row r="17" spans="1:39" x14ac:dyDescent="0.2">
      <c r="A17" s="685">
        <v>10</v>
      </c>
      <c r="B17" s="686"/>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5"/>
        <v>0</v>
      </c>
      <c r="X17" s="692"/>
      <c r="Y17" s="687">
        <f t="shared" si="6"/>
        <v>0</v>
      </c>
      <c r="Z17" s="688" t="s">
        <v>377</v>
      </c>
      <c r="AA17" s="693">
        <f t="shared" si="7"/>
        <v>0</v>
      </c>
      <c r="AB17" s="694">
        <f t="shared" si="8"/>
        <v>0</v>
      </c>
      <c r="AC17" s="695"/>
      <c r="AD17" s="708">
        <f t="shared" si="9"/>
        <v>0</v>
      </c>
      <c r="AE17" s="709" t="str">
        <f>IFERROR(INDEX(V!R$7:R$62,MATCH(AF17,V!L$7:L$62,0)),"")</f>
        <v/>
      </c>
      <c r="AF17" s="710" t="str">
        <f t="shared" si="10"/>
        <v/>
      </c>
      <c r="AG17" s="709" t="str">
        <f>IFERROR(INDEX(V!R$7:R$62,MATCH(AH17,V!L$7:L$62,0)),"")</f>
        <v/>
      </c>
      <c r="AH17" s="710" t="str">
        <f t="shared" si="11"/>
        <v/>
      </c>
      <c r="AI17" s="709" t="str">
        <f>IFERROR(INDEX(V!R$7:R$62,MATCH(AJ17,V!L$7:L$62,0)),"")</f>
        <v/>
      </c>
      <c r="AJ17" s="710" t="str">
        <f t="shared" si="12"/>
        <v/>
      </c>
      <c r="AK17" s="709" t="str">
        <f>IFERROR(INDEX(V!R$7:R$62,MATCH(AL17,V!L$7:L$62,0)),"")</f>
        <v/>
      </c>
      <c r="AL17" s="710" t="str">
        <f t="shared" si="13"/>
        <v/>
      </c>
      <c r="AM17" s="652"/>
    </row>
    <row r="18" spans="1:39" x14ac:dyDescent="0.2">
      <c r="A18" s="685">
        <v>11</v>
      </c>
      <c r="B18" s="696"/>
      <c r="C18" s="687"/>
      <c r="D18" s="688" t="s">
        <v>377</v>
      </c>
      <c r="E18" s="689"/>
      <c r="F18" s="690"/>
      <c r="G18" s="687"/>
      <c r="H18" s="688" t="s">
        <v>377</v>
      </c>
      <c r="I18" s="689"/>
      <c r="J18" s="690"/>
      <c r="K18" s="687"/>
      <c r="L18" s="688" t="s">
        <v>377</v>
      </c>
      <c r="M18" s="689"/>
      <c r="N18" s="690"/>
      <c r="O18" s="687"/>
      <c r="P18" s="688" t="s">
        <v>377</v>
      </c>
      <c r="Q18" s="689"/>
      <c r="R18" s="690"/>
      <c r="S18" s="687"/>
      <c r="T18" s="688" t="s">
        <v>377</v>
      </c>
      <c r="U18" s="689"/>
      <c r="V18" s="690"/>
      <c r="W18" s="691">
        <f t="shared" si="5"/>
        <v>0</v>
      </c>
      <c r="X18" s="692"/>
      <c r="Y18" s="687">
        <f t="shared" si="6"/>
        <v>0</v>
      </c>
      <c r="Z18" s="688" t="s">
        <v>377</v>
      </c>
      <c r="AA18" s="693">
        <f t="shared" si="7"/>
        <v>0</v>
      </c>
      <c r="AB18" s="694">
        <f t="shared" si="8"/>
        <v>0</v>
      </c>
      <c r="AC18" s="695"/>
      <c r="AD18" s="708">
        <f t="shared" si="9"/>
        <v>0</v>
      </c>
      <c r="AE18" s="709" t="str">
        <f>IFERROR(INDEX(V!R$7:R$62,MATCH(AF18,V!L$7:L$62,0)),"")</f>
        <v/>
      </c>
      <c r="AF18" s="710" t="str">
        <f t="shared" si="10"/>
        <v/>
      </c>
      <c r="AG18" s="709" t="str">
        <f>IFERROR(INDEX(V!R$7:R$62,MATCH(AH18,V!L$7:L$62,0)),"")</f>
        <v/>
      </c>
      <c r="AH18" s="710" t="str">
        <f t="shared" si="11"/>
        <v/>
      </c>
      <c r="AI18" s="709" t="str">
        <f>IFERROR(INDEX(V!R$7:R$62,MATCH(AJ18,V!L$7:L$62,0)),"")</f>
        <v/>
      </c>
      <c r="AJ18" s="710" t="str">
        <f t="shared" si="12"/>
        <v/>
      </c>
      <c r="AK18" s="709" t="str">
        <f>IFERROR(INDEX(V!R$7:R$62,MATCH(AL18,V!L$7:L$62,0)),"")</f>
        <v/>
      </c>
      <c r="AL18" s="710" t="str">
        <f t="shared" si="13"/>
        <v/>
      </c>
      <c r="AM18" s="652"/>
    </row>
    <row r="19" spans="1:39" x14ac:dyDescent="0.2">
      <c r="A19" s="685">
        <v>12</v>
      </c>
      <c r="B19" s="696"/>
      <c r="C19" s="687"/>
      <c r="D19" s="688" t="s">
        <v>377</v>
      </c>
      <c r="E19" s="689"/>
      <c r="F19" s="690"/>
      <c r="G19" s="687"/>
      <c r="H19" s="688" t="s">
        <v>377</v>
      </c>
      <c r="I19" s="689"/>
      <c r="J19" s="690"/>
      <c r="K19" s="687"/>
      <c r="L19" s="688" t="s">
        <v>377</v>
      </c>
      <c r="M19" s="689"/>
      <c r="N19" s="690"/>
      <c r="O19" s="687"/>
      <c r="P19" s="688" t="s">
        <v>377</v>
      </c>
      <c r="Q19" s="689"/>
      <c r="R19" s="690"/>
      <c r="S19" s="687"/>
      <c r="T19" s="688" t="s">
        <v>377</v>
      </c>
      <c r="U19" s="689"/>
      <c r="V19" s="690"/>
      <c r="W19" s="691">
        <f t="shared" si="5"/>
        <v>0</v>
      </c>
      <c r="X19" s="692"/>
      <c r="Y19" s="687">
        <f t="shared" si="6"/>
        <v>0</v>
      </c>
      <c r="Z19" s="688" t="s">
        <v>377</v>
      </c>
      <c r="AA19" s="693">
        <f t="shared" si="7"/>
        <v>0</v>
      </c>
      <c r="AB19" s="694">
        <f t="shared" si="8"/>
        <v>0</v>
      </c>
      <c r="AC19" s="695"/>
      <c r="AD19" s="708">
        <f t="shared" si="9"/>
        <v>0</v>
      </c>
      <c r="AE19" s="709" t="str">
        <f>IFERROR(INDEX(V!R$7:R$62,MATCH(AF19,V!L$7:L$62,0)),"")</f>
        <v/>
      </c>
      <c r="AF19" s="710" t="str">
        <f t="shared" si="10"/>
        <v/>
      </c>
      <c r="AG19" s="709" t="str">
        <f>IFERROR(INDEX(V!R$7:R$62,MATCH(AH19,V!L$7:L$62,0)),"")</f>
        <v/>
      </c>
      <c r="AH19" s="710" t="str">
        <f t="shared" si="11"/>
        <v/>
      </c>
      <c r="AI19" s="709" t="str">
        <f>IFERROR(INDEX(V!R$7:R$62,MATCH(AJ19,V!L$7:L$62,0)),"")</f>
        <v/>
      </c>
      <c r="AJ19" s="710" t="str">
        <f t="shared" si="12"/>
        <v/>
      </c>
      <c r="AK19" s="709" t="str">
        <f>IFERROR(INDEX(V!R$7:R$62,MATCH(AL19,V!L$7:L$62,0)),"")</f>
        <v/>
      </c>
      <c r="AL19" s="710" t="str">
        <f t="shared" si="13"/>
        <v/>
      </c>
      <c r="AM19" s="652"/>
    </row>
    <row r="20" spans="1:39" x14ac:dyDescent="0.2">
      <c r="A20" s="685">
        <v>13</v>
      </c>
      <c r="B20" s="686"/>
      <c r="C20" s="687"/>
      <c r="D20" s="688" t="s">
        <v>377</v>
      </c>
      <c r="E20" s="689"/>
      <c r="F20" s="690"/>
      <c r="G20" s="687"/>
      <c r="H20" s="688" t="s">
        <v>377</v>
      </c>
      <c r="I20" s="689"/>
      <c r="J20" s="690"/>
      <c r="K20" s="687"/>
      <c r="L20" s="688" t="s">
        <v>377</v>
      </c>
      <c r="M20" s="689"/>
      <c r="N20" s="690"/>
      <c r="O20" s="687"/>
      <c r="P20" s="688" t="s">
        <v>377</v>
      </c>
      <c r="Q20" s="689"/>
      <c r="R20" s="690"/>
      <c r="S20" s="687"/>
      <c r="T20" s="688" t="s">
        <v>377</v>
      </c>
      <c r="U20" s="689"/>
      <c r="V20" s="690"/>
      <c r="W20" s="691">
        <f t="shared" si="5"/>
        <v>0</v>
      </c>
      <c r="X20" s="692"/>
      <c r="Y20" s="687">
        <f t="shared" si="6"/>
        <v>0</v>
      </c>
      <c r="Z20" s="688" t="s">
        <v>377</v>
      </c>
      <c r="AA20" s="693">
        <f t="shared" si="7"/>
        <v>0</v>
      </c>
      <c r="AB20" s="694">
        <f t="shared" si="8"/>
        <v>0</v>
      </c>
      <c r="AC20" s="695"/>
      <c r="AD20" s="708">
        <f t="shared" si="9"/>
        <v>0</v>
      </c>
      <c r="AE20" s="709" t="str">
        <f>IFERROR(INDEX(V!R$7:R$62,MATCH(AF20,V!L$7:L$62,0)),"")</f>
        <v/>
      </c>
      <c r="AF20" s="710" t="str">
        <f t="shared" si="10"/>
        <v/>
      </c>
      <c r="AG20" s="709" t="str">
        <f>IFERROR(INDEX(V!R$7:R$62,MATCH(AH20,V!L$7:L$62,0)),"")</f>
        <v/>
      </c>
      <c r="AH20" s="710" t="str">
        <f t="shared" si="11"/>
        <v/>
      </c>
      <c r="AI20" s="709" t="str">
        <f>IFERROR(INDEX(V!R$7:R$62,MATCH(AJ20,V!L$7:L$62,0)),"")</f>
        <v/>
      </c>
      <c r="AJ20" s="710" t="str">
        <f t="shared" si="12"/>
        <v/>
      </c>
      <c r="AK20" s="709" t="str">
        <f>IFERROR(INDEX(V!R$7:R$62,MATCH(AL20,V!L$7:L$62,0)),"")</f>
        <v/>
      </c>
      <c r="AL20" s="710" t="str">
        <f t="shared" si="13"/>
        <v/>
      </c>
      <c r="AM20" s="652"/>
    </row>
    <row r="21" spans="1:39" x14ac:dyDescent="0.2">
      <c r="A21" s="685">
        <v>14</v>
      </c>
      <c r="B21" s="696"/>
      <c r="C21" s="687"/>
      <c r="D21" s="688" t="s">
        <v>377</v>
      </c>
      <c r="E21" s="689"/>
      <c r="F21" s="690"/>
      <c r="G21" s="687"/>
      <c r="H21" s="688" t="s">
        <v>377</v>
      </c>
      <c r="I21" s="689"/>
      <c r="J21" s="690"/>
      <c r="K21" s="687"/>
      <c r="L21" s="688" t="s">
        <v>377</v>
      </c>
      <c r="M21" s="689"/>
      <c r="N21" s="690"/>
      <c r="O21" s="687"/>
      <c r="P21" s="688" t="s">
        <v>377</v>
      </c>
      <c r="Q21" s="689"/>
      <c r="R21" s="690"/>
      <c r="S21" s="687"/>
      <c r="T21" s="688" t="s">
        <v>377</v>
      </c>
      <c r="U21" s="689"/>
      <c r="V21" s="690"/>
      <c r="W21" s="691">
        <f t="shared" si="5"/>
        <v>0</v>
      </c>
      <c r="X21" s="692"/>
      <c r="Y21" s="687">
        <f t="shared" si="6"/>
        <v>0</v>
      </c>
      <c r="Z21" s="688" t="s">
        <v>377</v>
      </c>
      <c r="AA21" s="693">
        <f t="shared" si="7"/>
        <v>0</v>
      </c>
      <c r="AB21" s="694">
        <f t="shared" si="8"/>
        <v>0</v>
      </c>
      <c r="AC21" s="695"/>
      <c r="AD21" s="708">
        <f t="shared" si="9"/>
        <v>0</v>
      </c>
      <c r="AE21" s="709" t="str">
        <f>IFERROR(INDEX(V!R$7:R$62,MATCH(AF21,V!L$7:L$62,0)),"")</f>
        <v/>
      </c>
      <c r="AF21" s="710" t="str">
        <f t="shared" si="10"/>
        <v/>
      </c>
      <c r="AG21" s="709" t="str">
        <f>IFERROR(INDEX(V!R$7:R$62,MATCH(AH21,V!L$7:L$62,0)),"")</f>
        <v/>
      </c>
      <c r="AH21" s="710" t="str">
        <f t="shared" si="11"/>
        <v/>
      </c>
      <c r="AI21" s="709" t="str">
        <f>IFERROR(INDEX(V!R$7:R$62,MATCH(AJ21,V!L$7:L$62,0)),"")</f>
        <v/>
      </c>
      <c r="AJ21" s="710" t="str">
        <f t="shared" si="12"/>
        <v/>
      </c>
      <c r="AK21" s="709" t="str">
        <f>IFERROR(INDEX(V!R$7:R$62,MATCH(AL21,V!L$7:L$62,0)),"")</f>
        <v/>
      </c>
      <c r="AL21" s="710" t="str">
        <f t="shared" si="13"/>
        <v/>
      </c>
      <c r="AM21" s="652"/>
    </row>
    <row r="22" spans="1:39" x14ac:dyDescent="0.2">
      <c r="A22" s="685">
        <v>15</v>
      </c>
      <c r="B22" s="696"/>
      <c r="C22" s="687"/>
      <c r="D22" s="688" t="s">
        <v>377</v>
      </c>
      <c r="E22" s="689"/>
      <c r="F22" s="690"/>
      <c r="G22" s="687"/>
      <c r="H22" s="688" t="s">
        <v>377</v>
      </c>
      <c r="I22" s="689"/>
      <c r="J22" s="690"/>
      <c r="K22" s="687"/>
      <c r="L22" s="688" t="s">
        <v>377</v>
      </c>
      <c r="M22" s="689"/>
      <c r="N22" s="690"/>
      <c r="O22" s="687"/>
      <c r="P22" s="688" t="s">
        <v>377</v>
      </c>
      <c r="Q22" s="689"/>
      <c r="R22" s="690"/>
      <c r="S22" s="687"/>
      <c r="T22" s="688" t="s">
        <v>377</v>
      </c>
      <c r="U22" s="689"/>
      <c r="V22" s="690"/>
      <c r="W22" s="691">
        <f t="shared" si="5"/>
        <v>0</v>
      </c>
      <c r="X22" s="692"/>
      <c r="Y22" s="687">
        <f t="shared" si="6"/>
        <v>0</v>
      </c>
      <c r="Z22" s="688" t="s">
        <v>377</v>
      </c>
      <c r="AA22" s="693">
        <f t="shared" si="7"/>
        <v>0</v>
      </c>
      <c r="AB22" s="694">
        <f t="shared" si="8"/>
        <v>0</v>
      </c>
      <c r="AC22" s="695"/>
      <c r="AD22" s="708">
        <f t="shared" si="9"/>
        <v>0</v>
      </c>
      <c r="AE22" s="709" t="str">
        <f>IFERROR(INDEX(V!R$7:R$62,MATCH(AF22,V!L$7:L$62,0)),"")</f>
        <v/>
      </c>
      <c r="AF22" s="710" t="str">
        <f t="shared" si="10"/>
        <v/>
      </c>
      <c r="AG22" s="709" t="str">
        <f>IFERROR(INDEX(V!R$7:R$62,MATCH(AH22,V!L$7:L$62,0)),"")</f>
        <v/>
      </c>
      <c r="AH22" s="710" t="str">
        <f t="shared" si="11"/>
        <v/>
      </c>
      <c r="AI22" s="709" t="str">
        <f>IFERROR(INDEX(V!R$7:R$62,MATCH(AJ22,V!L$7:L$62,0)),"")</f>
        <v/>
      </c>
      <c r="AJ22" s="710" t="str">
        <f t="shared" si="12"/>
        <v/>
      </c>
      <c r="AK22" s="709" t="str">
        <f>IFERROR(INDEX(V!R$7:R$62,MATCH(AL22,V!L$7:L$62,0)),"")</f>
        <v/>
      </c>
      <c r="AL22" s="710" t="str">
        <f t="shared" si="13"/>
        <v/>
      </c>
      <c r="AM22" s="652"/>
    </row>
    <row r="23" spans="1:39" x14ac:dyDescent="0.2">
      <c r="A23" s="685">
        <v>16</v>
      </c>
      <c r="B23" s="686"/>
      <c r="C23" s="687"/>
      <c r="D23" s="688" t="s">
        <v>377</v>
      </c>
      <c r="E23" s="689"/>
      <c r="F23" s="690"/>
      <c r="G23" s="687"/>
      <c r="H23" s="688" t="s">
        <v>377</v>
      </c>
      <c r="I23" s="689"/>
      <c r="J23" s="690"/>
      <c r="K23" s="687"/>
      <c r="L23" s="688" t="s">
        <v>377</v>
      </c>
      <c r="M23" s="689"/>
      <c r="N23" s="690"/>
      <c r="O23" s="687"/>
      <c r="P23" s="688" t="s">
        <v>377</v>
      </c>
      <c r="Q23" s="689"/>
      <c r="R23" s="690"/>
      <c r="S23" s="687"/>
      <c r="T23" s="688" t="s">
        <v>377</v>
      </c>
      <c r="U23" s="689"/>
      <c r="V23" s="690"/>
      <c r="W23" s="691">
        <f t="shared" si="5"/>
        <v>0</v>
      </c>
      <c r="X23" s="692"/>
      <c r="Y23" s="687">
        <f t="shared" si="6"/>
        <v>0</v>
      </c>
      <c r="Z23" s="688" t="s">
        <v>377</v>
      </c>
      <c r="AA23" s="693">
        <f t="shared" si="7"/>
        <v>0</v>
      </c>
      <c r="AB23" s="694">
        <f t="shared" si="8"/>
        <v>0</v>
      </c>
      <c r="AC23" s="695"/>
      <c r="AD23" s="708">
        <f t="shared" si="9"/>
        <v>0</v>
      </c>
      <c r="AE23" s="709" t="str">
        <f>IFERROR(INDEX(V!R$7:R$62,MATCH(AF23,V!L$7:L$62,0)),"")</f>
        <v/>
      </c>
      <c r="AF23" s="710" t="str">
        <f t="shared" si="10"/>
        <v/>
      </c>
      <c r="AG23" s="709" t="str">
        <f>IFERROR(INDEX(V!R$7:R$62,MATCH(AH23,V!L$7:L$62,0)),"")</f>
        <v/>
      </c>
      <c r="AH23" s="710" t="str">
        <f t="shared" si="11"/>
        <v/>
      </c>
      <c r="AI23" s="709" t="str">
        <f>IFERROR(INDEX(V!R$7:R$62,MATCH(AJ23,V!L$7:L$62,0)),"")</f>
        <v/>
      </c>
      <c r="AJ23" s="710" t="str">
        <f t="shared" si="12"/>
        <v/>
      </c>
      <c r="AK23" s="709" t="str">
        <f>IFERROR(INDEX(V!R$7:R$62,MATCH(AL23,V!L$7:L$62,0)),"")</f>
        <v/>
      </c>
      <c r="AL23" s="710" t="str">
        <f t="shared" si="13"/>
        <v/>
      </c>
      <c r="AM23" s="652"/>
    </row>
    <row r="24" spans="1:39" x14ac:dyDescent="0.2">
      <c r="A24" s="685">
        <v>17</v>
      </c>
      <c r="B24" s="696"/>
      <c r="C24" s="687"/>
      <c r="D24" s="688" t="s">
        <v>377</v>
      </c>
      <c r="E24" s="689"/>
      <c r="F24" s="690"/>
      <c r="G24" s="687"/>
      <c r="H24" s="688" t="s">
        <v>377</v>
      </c>
      <c r="I24" s="689"/>
      <c r="J24" s="690"/>
      <c r="K24" s="687"/>
      <c r="L24" s="688" t="s">
        <v>377</v>
      </c>
      <c r="M24" s="689"/>
      <c r="N24" s="690"/>
      <c r="O24" s="687"/>
      <c r="P24" s="688" t="s">
        <v>377</v>
      </c>
      <c r="Q24" s="689"/>
      <c r="R24" s="690"/>
      <c r="S24" s="687"/>
      <c r="T24" s="688" t="s">
        <v>377</v>
      </c>
      <c r="U24" s="689"/>
      <c r="V24" s="690"/>
      <c r="W24" s="691">
        <f t="shared" si="5"/>
        <v>0</v>
      </c>
      <c r="X24" s="692"/>
      <c r="Y24" s="687">
        <f t="shared" si="6"/>
        <v>0</v>
      </c>
      <c r="Z24" s="688" t="s">
        <v>377</v>
      </c>
      <c r="AA24" s="693">
        <f t="shared" si="7"/>
        <v>0</v>
      </c>
      <c r="AB24" s="694">
        <f t="shared" si="8"/>
        <v>0</v>
      </c>
      <c r="AC24" s="695"/>
      <c r="AD24" s="708">
        <f t="shared" si="9"/>
        <v>0</v>
      </c>
      <c r="AE24" s="709" t="str">
        <f>IFERROR(INDEX(V!R$7:R$62,MATCH(AF24,V!L$7:L$62,0)),"")</f>
        <v/>
      </c>
      <c r="AF24" s="710" t="str">
        <f t="shared" si="10"/>
        <v/>
      </c>
      <c r="AG24" s="709" t="str">
        <f>IFERROR(INDEX(V!R$7:R$62,MATCH(AH24,V!L$7:L$62,0)),"")</f>
        <v/>
      </c>
      <c r="AH24" s="710" t="str">
        <f t="shared" si="11"/>
        <v/>
      </c>
      <c r="AI24" s="709" t="str">
        <f>IFERROR(INDEX(V!R$7:R$62,MATCH(AJ24,V!L$7:L$62,0)),"")</f>
        <v/>
      </c>
      <c r="AJ24" s="710" t="str">
        <f t="shared" si="12"/>
        <v/>
      </c>
      <c r="AK24" s="709" t="str">
        <f>IFERROR(INDEX(V!R$7:R$62,MATCH(AL24,V!L$7:L$62,0)),"")</f>
        <v/>
      </c>
      <c r="AL24" s="710" t="str">
        <f t="shared" si="13"/>
        <v/>
      </c>
      <c r="AM24" s="652"/>
    </row>
    <row r="25" spans="1:39" x14ac:dyDescent="0.2">
      <c r="A25" s="685">
        <v>18</v>
      </c>
      <c r="B25" s="696"/>
      <c r="C25" s="687"/>
      <c r="D25" s="688" t="s">
        <v>377</v>
      </c>
      <c r="E25" s="689"/>
      <c r="F25" s="690"/>
      <c r="G25" s="687"/>
      <c r="H25" s="688" t="s">
        <v>377</v>
      </c>
      <c r="I25" s="689"/>
      <c r="J25" s="690"/>
      <c r="K25" s="687"/>
      <c r="L25" s="688" t="s">
        <v>377</v>
      </c>
      <c r="M25" s="689"/>
      <c r="N25" s="690"/>
      <c r="O25" s="687"/>
      <c r="P25" s="688" t="s">
        <v>377</v>
      </c>
      <c r="Q25" s="689"/>
      <c r="R25" s="690"/>
      <c r="S25" s="687"/>
      <c r="T25" s="688" t="s">
        <v>377</v>
      </c>
      <c r="U25" s="689"/>
      <c r="V25" s="690"/>
      <c r="W25" s="691">
        <f t="shared" si="5"/>
        <v>0</v>
      </c>
      <c r="X25" s="692"/>
      <c r="Y25" s="687">
        <f t="shared" si="6"/>
        <v>0</v>
      </c>
      <c r="Z25" s="688" t="s">
        <v>377</v>
      </c>
      <c r="AA25" s="693">
        <f t="shared" si="7"/>
        <v>0</v>
      </c>
      <c r="AB25" s="694">
        <f t="shared" si="8"/>
        <v>0</v>
      </c>
      <c r="AC25" s="695"/>
      <c r="AD25" s="708">
        <f t="shared" si="9"/>
        <v>0</v>
      </c>
      <c r="AE25" s="709" t="str">
        <f>IFERROR(INDEX(V!R$7:R$62,MATCH(AF25,V!L$7:L$62,0)),"")</f>
        <v/>
      </c>
      <c r="AF25" s="710" t="str">
        <f t="shared" si="10"/>
        <v/>
      </c>
      <c r="AG25" s="709" t="str">
        <f>IFERROR(INDEX(V!R$7:R$62,MATCH(AH25,V!L$7:L$62,0)),"")</f>
        <v/>
      </c>
      <c r="AH25" s="710" t="str">
        <f t="shared" si="11"/>
        <v/>
      </c>
      <c r="AI25" s="709" t="str">
        <f>IFERROR(INDEX(V!R$7:R$62,MATCH(AJ25,V!L$7:L$62,0)),"")</f>
        <v/>
      </c>
      <c r="AJ25" s="710" t="str">
        <f t="shared" si="12"/>
        <v/>
      </c>
      <c r="AK25" s="709" t="str">
        <f>IFERROR(INDEX(V!R$7:R$62,MATCH(AL25,V!L$7:L$62,0)),"")</f>
        <v/>
      </c>
      <c r="AL25" s="710" t="str">
        <f t="shared" si="13"/>
        <v/>
      </c>
      <c r="AM25" s="652"/>
    </row>
    <row r="26" spans="1:39" x14ac:dyDescent="0.2">
      <c r="A26" s="685">
        <v>19</v>
      </c>
      <c r="B26" s="686"/>
      <c r="C26" s="687"/>
      <c r="D26" s="688" t="s">
        <v>377</v>
      </c>
      <c r="E26" s="689"/>
      <c r="F26" s="690"/>
      <c r="G26" s="687"/>
      <c r="H26" s="688" t="s">
        <v>377</v>
      </c>
      <c r="I26" s="689"/>
      <c r="J26" s="690"/>
      <c r="K26" s="687"/>
      <c r="L26" s="688" t="s">
        <v>377</v>
      </c>
      <c r="M26" s="689"/>
      <c r="N26" s="690"/>
      <c r="O26" s="687"/>
      <c r="P26" s="688" t="s">
        <v>377</v>
      </c>
      <c r="Q26" s="689"/>
      <c r="R26" s="690"/>
      <c r="S26" s="687"/>
      <c r="T26" s="688" t="s">
        <v>377</v>
      </c>
      <c r="U26" s="689"/>
      <c r="V26" s="690"/>
      <c r="W26" s="691">
        <f t="shared" si="5"/>
        <v>0</v>
      </c>
      <c r="X26" s="692"/>
      <c r="Y26" s="687">
        <f t="shared" si="6"/>
        <v>0</v>
      </c>
      <c r="Z26" s="688" t="s">
        <v>377</v>
      </c>
      <c r="AA26" s="693">
        <f t="shared" si="7"/>
        <v>0</v>
      </c>
      <c r="AB26" s="694">
        <f t="shared" si="8"/>
        <v>0</v>
      </c>
      <c r="AC26" s="695"/>
      <c r="AD26" s="708">
        <f t="shared" si="9"/>
        <v>0</v>
      </c>
      <c r="AE26" s="709" t="str">
        <f>IFERROR(INDEX(V!R$7:R$62,MATCH(AF26,V!L$7:L$62,0)),"")</f>
        <v/>
      </c>
      <c r="AF26" s="710" t="str">
        <f t="shared" si="10"/>
        <v/>
      </c>
      <c r="AG26" s="709" t="str">
        <f>IFERROR(INDEX(V!R$7:R$62,MATCH(AH26,V!L$7:L$62,0)),"")</f>
        <v/>
      </c>
      <c r="AH26" s="710" t="str">
        <f t="shared" si="11"/>
        <v/>
      </c>
      <c r="AI26" s="709" t="str">
        <f>IFERROR(INDEX(V!R$7:R$62,MATCH(AJ26,V!L$7:L$62,0)),"")</f>
        <v/>
      </c>
      <c r="AJ26" s="710" t="str">
        <f t="shared" si="12"/>
        <v/>
      </c>
      <c r="AK26" s="709" t="str">
        <f>IFERROR(INDEX(V!R$7:R$62,MATCH(AL26,V!L$7:L$62,0)),"")</f>
        <v/>
      </c>
      <c r="AL26" s="710" t="str">
        <f t="shared" si="13"/>
        <v/>
      </c>
      <c r="AM26" s="652"/>
    </row>
    <row r="27" spans="1:39" x14ac:dyDescent="0.2">
      <c r="A27" s="685">
        <v>20</v>
      </c>
      <c r="B27" s="696"/>
      <c r="C27" s="687"/>
      <c r="D27" s="688" t="s">
        <v>377</v>
      </c>
      <c r="E27" s="689"/>
      <c r="F27" s="690"/>
      <c r="G27" s="687"/>
      <c r="H27" s="688" t="s">
        <v>377</v>
      </c>
      <c r="I27" s="689"/>
      <c r="J27" s="690"/>
      <c r="K27" s="687"/>
      <c r="L27" s="688" t="s">
        <v>377</v>
      </c>
      <c r="M27" s="689"/>
      <c r="N27" s="690"/>
      <c r="O27" s="687"/>
      <c r="P27" s="688" t="s">
        <v>377</v>
      </c>
      <c r="Q27" s="689"/>
      <c r="R27" s="690"/>
      <c r="S27" s="687"/>
      <c r="T27" s="688" t="s">
        <v>377</v>
      </c>
      <c r="U27" s="689"/>
      <c r="V27" s="690"/>
      <c r="W27" s="691">
        <f t="shared" si="5"/>
        <v>0</v>
      </c>
      <c r="X27" s="692"/>
      <c r="Y27" s="687">
        <f t="shared" si="6"/>
        <v>0</v>
      </c>
      <c r="Z27" s="688" t="s">
        <v>377</v>
      </c>
      <c r="AA27" s="693">
        <f t="shared" si="7"/>
        <v>0</v>
      </c>
      <c r="AB27" s="694">
        <f t="shared" si="8"/>
        <v>0</v>
      </c>
      <c r="AC27" s="695"/>
      <c r="AD27" s="708">
        <f t="shared" si="9"/>
        <v>0</v>
      </c>
      <c r="AE27" s="709" t="str">
        <f>IFERROR(INDEX(V!R$7:R$62,MATCH(AF27,V!L$7:L$62,0)),"")</f>
        <v/>
      </c>
      <c r="AF27" s="710" t="str">
        <f t="shared" si="10"/>
        <v/>
      </c>
      <c r="AG27" s="709" t="str">
        <f>IFERROR(INDEX(V!R$7:R$62,MATCH(AH27,V!L$7:L$62,0)),"")</f>
        <v/>
      </c>
      <c r="AH27" s="710" t="str">
        <f t="shared" si="11"/>
        <v/>
      </c>
      <c r="AI27" s="709" t="str">
        <f>IFERROR(INDEX(V!R$7:R$62,MATCH(AJ27,V!L$7:L$62,0)),"")</f>
        <v/>
      </c>
      <c r="AJ27" s="710" t="str">
        <f t="shared" si="12"/>
        <v/>
      </c>
      <c r="AK27" s="709" t="str">
        <f>IFERROR(INDEX(V!R$7:R$62,MATCH(AL27,V!L$7:L$62,0)),"")</f>
        <v/>
      </c>
      <c r="AL27" s="710" t="str">
        <f t="shared" si="13"/>
        <v/>
      </c>
      <c r="AM27" s="652"/>
    </row>
    <row r="28" spans="1:39" x14ac:dyDescent="0.2">
      <c r="A28" s="685">
        <v>21</v>
      </c>
      <c r="B28" s="686"/>
      <c r="C28" s="687"/>
      <c r="D28" s="688" t="s">
        <v>377</v>
      </c>
      <c r="E28" s="689"/>
      <c r="F28" s="690"/>
      <c r="G28" s="687"/>
      <c r="H28" s="688" t="s">
        <v>377</v>
      </c>
      <c r="I28" s="689"/>
      <c r="J28" s="690"/>
      <c r="K28" s="687"/>
      <c r="L28" s="688" t="s">
        <v>377</v>
      </c>
      <c r="M28" s="689"/>
      <c r="N28" s="690"/>
      <c r="O28" s="687"/>
      <c r="P28" s="688" t="s">
        <v>377</v>
      </c>
      <c r="Q28" s="689"/>
      <c r="R28" s="690"/>
      <c r="S28" s="687"/>
      <c r="T28" s="688" t="s">
        <v>377</v>
      </c>
      <c r="U28" s="689"/>
      <c r="V28" s="690"/>
      <c r="W28" s="691">
        <f>IF(C28&gt;E28,J$3,IF(C28&lt;E28,J$5,IF(ISNUMBER(C28),J$4,0)))+IF(G28&gt;I28,J$3,IF(G28&lt;I28,J$5,IF(ISNUMBER(G28),J$4,0)))+IF(K28&gt;M28,J$3,IF(K28&lt;M28,J$5,IF(ISNUMBER(K28),J$4,0)))+IF(O28&gt;Q28,J$3,IF(O28&lt;Q28,J$5,IF(ISNUMBER(O28),J$4,0)))+IF(S28&gt;U28,J$3,IF(S28&lt;U28,J$5,IF(ISNUMBER(S28),J$4,0)))</f>
        <v>0</v>
      </c>
      <c r="X28" s="692"/>
      <c r="Y28" s="687">
        <f>C28+G28+K28+O28+S28</f>
        <v>0</v>
      </c>
      <c r="Z28" s="688" t="s">
        <v>377</v>
      </c>
      <c r="AA28" s="693">
        <f>E28+I28+M28+Q28+U28</f>
        <v>0</v>
      </c>
      <c r="AB28" s="694">
        <f>Y28-AA28</f>
        <v>0</v>
      </c>
      <c r="AC28" s="695"/>
      <c r="AD28" s="708">
        <f t="shared" si="9"/>
        <v>0</v>
      </c>
      <c r="AE28" s="709" t="str">
        <f>IFERROR(INDEX(V!R$7:R$62,MATCH(AF28,V!L$7:L$62,0)),"")</f>
        <v/>
      </c>
      <c r="AF28" s="710" t="str">
        <f t="shared" si="10"/>
        <v/>
      </c>
      <c r="AG28" s="709" t="str">
        <f>IFERROR(INDEX(V!R$7:R$62,MATCH(AH28,V!L$7:L$62,0)),"")</f>
        <v/>
      </c>
      <c r="AH28" s="710" t="str">
        <f t="shared" si="11"/>
        <v/>
      </c>
      <c r="AI28" s="709" t="str">
        <f>IFERROR(INDEX(V!R$7:R$62,MATCH(AJ28,V!L$7:L$62,0)),"")</f>
        <v/>
      </c>
      <c r="AJ28" s="710" t="str">
        <f t="shared" si="12"/>
        <v/>
      </c>
      <c r="AK28" s="709" t="str">
        <f>IFERROR(INDEX(V!R$7:R$62,MATCH(AL28,V!L$7:L$62,0)),"")</f>
        <v/>
      </c>
      <c r="AL28" s="710" t="str">
        <f t="shared" si="13"/>
        <v/>
      </c>
      <c r="AM28" s="652"/>
    </row>
    <row r="29" spans="1:39" x14ac:dyDescent="0.2">
      <c r="A29" s="685">
        <v>22</v>
      </c>
      <c r="B29" s="696"/>
      <c r="C29" s="687"/>
      <c r="D29" s="688" t="s">
        <v>377</v>
      </c>
      <c r="E29" s="689"/>
      <c r="F29" s="690"/>
      <c r="G29" s="687"/>
      <c r="H29" s="688" t="s">
        <v>377</v>
      </c>
      <c r="I29" s="689"/>
      <c r="J29" s="690"/>
      <c r="K29" s="687"/>
      <c r="L29" s="688" t="s">
        <v>377</v>
      </c>
      <c r="M29" s="689"/>
      <c r="N29" s="690"/>
      <c r="O29" s="687"/>
      <c r="P29" s="688" t="s">
        <v>377</v>
      </c>
      <c r="Q29" s="689"/>
      <c r="R29" s="690"/>
      <c r="S29" s="687"/>
      <c r="T29" s="688" t="s">
        <v>377</v>
      </c>
      <c r="U29" s="689"/>
      <c r="V29" s="690"/>
      <c r="W29" s="691">
        <f>IF(C29&gt;E29,J$3,IF(C29&lt;E29,J$5,IF(ISNUMBER(C29),J$4,0)))+IF(G29&gt;I29,J$3,IF(G29&lt;I29,J$5,IF(ISNUMBER(G29),J$4,0)))+IF(K29&gt;M29,J$3,IF(K29&lt;M29,J$5,IF(ISNUMBER(K29),J$4,0)))+IF(O29&gt;Q29,J$3,IF(O29&lt;Q29,J$5,IF(ISNUMBER(O29),J$4,0)))+IF(S29&gt;U29,J$3,IF(S29&lt;U29,J$5,IF(ISNUMBER(S29),J$4,0)))</f>
        <v>0</v>
      </c>
      <c r="X29" s="692"/>
      <c r="Y29" s="687">
        <f>C29+G29+K29+O29+S29</f>
        <v>0</v>
      </c>
      <c r="Z29" s="688" t="s">
        <v>377</v>
      </c>
      <c r="AA29" s="693">
        <f>E29+I29+M29+Q29+U29</f>
        <v>0</v>
      </c>
      <c r="AB29" s="694">
        <f>Y29-AA29</f>
        <v>0</v>
      </c>
      <c r="AC29" s="695"/>
      <c r="AD29" s="708">
        <f t="shared" si="9"/>
        <v>0</v>
      </c>
      <c r="AE29" s="709" t="str">
        <f>IFERROR(INDEX(V!R$7:R$62,MATCH(AF29,V!L$7:L$62,0)),"")</f>
        <v/>
      </c>
      <c r="AF29" s="710" t="str">
        <f t="shared" si="10"/>
        <v/>
      </c>
      <c r="AG29" s="709" t="str">
        <f>IFERROR(INDEX(V!R$7:R$62,MATCH(AH29,V!L$7:L$62,0)),"")</f>
        <v/>
      </c>
      <c r="AH29" s="710" t="str">
        <f t="shared" si="11"/>
        <v/>
      </c>
      <c r="AI29" s="709" t="str">
        <f>IFERROR(INDEX(V!R$7:R$62,MATCH(AJ29,V!L$7:L$62,0)),"")</f>
        <v/>
      </c>
      <c r="AJ29" s="710" t="str">
        <f t="shared" si="12"/>
        <v/>
      </c>
      <c r="AK29" s="709" t="str">
        <f>IFERROR(INDEX(V!R$7:R$62,MATCH(AL29,V!L$7:L$62,0)),"")</f>
        <v/>
      </c>
      <c r="AL29" s="710" t="str">
        <f t="shared" si="13"/>
        <v/>
      </c>
      <c r="AM29" s="652"/>
    </row>
    <row r="30" spans="1:39" x14ac:dyDescent="0.2">
      <c r="A30" s="685">
        <v>23</v>
      </c>
      <c r="B30" s="686"/>
      <c r="C30" s="687"/>
      <c r="D30" s="688" t="s">
        <v>377</v>
      </c>
      <c r="E30" s="689"/>
      <c r="F30" s="690"/>
      <c r="G30" s="687"/>
      <c r="H30" s="688" t="s">
        <v>377</v>
      </c>
      <c r="I30" s="689"/>
      <c r="J30" s="690"/>
      <c r="K30" s="687"/>
      <c r="L30" s="688" t="s">
        <v>377</v>
      </c>
      <c r="M30" s="689"/>
      <c r="N30" s="690"/>
      <c r="O30" s="687"/>
      <c r="P30" s="688" t="s">
        <v>377</v>
      </c>
      <c r="Q30" s="689"/>
      <c r="R30" s="690"/>
      <c r="S30" s="687"/>
      <c r="T30" s="688" t="s">
        <v>377</v>
      </c>
      <c r="U30" s="689"/>
      <c r="V30" s="690"/>
      <c r="W30" s="691">
        <f>IF(C30&gt;E30,J$3,IF(C30&lt;E30,J$5,IF(ISNUMBER(C30),J$4,0)))+IF(G30&gt;I30,J$3,IF(G30&lt;I30,J$5,IF(ISNUMBER(G30),J$4,0)))+IF(K30&gt;M30,J$3,IF(K30&lt;M30,J$5,IF(ISNUMBER(K30),J$4,0)))+IF(O30&gt;Q30,J$3,IF(O30&lt;Q30,J$5,IF(ISNUMBER(O30),J$4,0)))+IF(S30&gt;U30,J$3,IF(S30&lt;U30,J$5,IF(ISNUMBER(S30),J$4,0)))</f>
        <v>0</v>
      </c>
      <c r="X30" s="692"/>
      <c r="Y30" s="687">
        <f>C30+G30+K30+O30+S30</f>
        <v>0</v>
      </c>
      <c r="Z30" s="688" t="s">
        <v>377</v>
      </c>
      <c r="AA30" s="693">
        <f>E30+I30+M30+Q30+U30</f>
        <v>0</v>
      </c>
      <c r="AB30" s="694">
        <f>Y30-AA30</f>
        <v>0</v>
      </c>
      <c r="AC30" s="695"/>
      <c r="AD30" s="708">
        <f t="shared" si="9"/>
        <v>0</v>
      </c>
      <c r="AE30" s="709" t="str">
        <f>IFERROR(INDEX(V!R$7:R$62,MATCH(AF30,V!L$7:L$62,0)),"")</f>
        <v/>
      </c>
      <c r="AF30" s="710" t="str">
        <f t="shared" si="10"/>
        <v/>
      </c>
      <c r="AG30" s="709" t="str">
        <f>IFERROR(INDEX(V!R$7:R$62,MATCH(AH30,V!L$7:L$62,0)),"")</f>
        <v/>
      </c>
      <c r="AH30" s="710" t="str">
        <f t="shared" si="11"/>
        <v/>
      </c>
      <c r="AI30" s="709" t="str">
        <f>IFERROR(INDEX(V!R$7:R$62,MATCH(AJ30,V!L$7:L$62,0)),"")</f>
        <v/>
      </c>
      <c r="AJ30" s="710" t="str">
        <f t="shared" si="12"/>
        <v/>
      </c>
      <c r="AK30" s="709" t="str">
        <f>IFERROR(INDEX(V!R$7:R$62,MATCH(AL30,V!L$7:L$62,0)),"")</f>
        <v/>
      </c>
      <c r="AL30" s="710" t="str">
        <f t="shared" si="13"/>
        <v/>
      </c>
      <c r="AM30" s="652"/>
    </row>
    <row r="31" spans="1:39" x14ac:dyDescent="0.2">
      <c r="A31" s="685">
        <v>24</v>
      </c>
      <c r="B31" s="696"/>
      <c r="C31" s="687"/>
      <c r="D31" s="688" t="s">
        <v>377</v>
      </c>
      <c r="E31" s="689"/>
      <c r="F31" s="690"/>
      <c r="G31" s="687"/>
      <c r="H31" s="688" t="s">
        <v>377</v>
      </c>
      <c r="I31" s="689"/>
      <c r="J31" s="690"/>
      <c r="K31" s="687"/>
      <c r="L31" s="688" t="s">
        <v>377</v>
      </c>
      <c r="M31" s="689"/>
      <c r="N31" s="690"/>
      <c r="O31" s="687"/>
      <c r="P31" s="688" t="s">
        <v>377</v>
      </c>
      <c r="Q31" s="689"/>
      <c r="R31" s="690"/>
      <c r="S31" s="687"/>
      <c r="T31" s="688" t="s">
        <v>377</v>
      </c>
      <c r="U31" s="689"/>
      <c r="V31" s="690"/>
      <c r="W31" s="691">
        <f>IF(C31&gt;E31,J$3,IF(C31&lt;E31,J$5,IF(ISNUMBER(C31),J$4,0)))+IF(G31&gt;I31,J$3,IF(G31&lt;I31,J$5,IF(ISNUMBER(G31),J$4,0)))+IF(K31&gt;M31,J$3,IF(K31&lt;M31,J$5,IF(ISNUMBER(K31),J$4,0)))+IF(O31&gt;Q31,J$3,IF(O31&lt;Q31,J$5,IF(ISNUMBER(O31),J$4,0)))+IF(S31&gt;U31,J$3,IF(S31&lt;U31,J$5,IF(ISNUMBER(S31),J$4,0)))</f>
        <v>0</v>
      </c>
      <c r="X31" s="692"/>
      <c r="Y31" s="687">
        <f>C31+G31+K31+O31+S31</f>
        <v>0</v>
      </c>
      <c r="Z31" s="688" t="s">
        <v>377</v>
      </c>
      <c r="AA31" s="693">
        <f>E31+I31+M31+Q31+U31</f>
        <v>0</v>
      </c>
      <c r="AB31" s="694">
        <f>Y31-AA31</f>
        <v>0</v>
      </c>
      <c r="AC31" s="695"/>
      <c r="AD31" s="708">
        <f t="shared" si="9"/>
        <v>0</v>
      </c>
      <c r="AE31" s="709" t="str">
        <f>IFERROR(INDEX(V!R$7:R$62,MATCH(AF31,V!L$7:L$62,0)),"")</f>
        <v/>
      </c>
      <c r="AF31" s="710" t="str">
        <f t="shared" si="10"/>
        <v/>
      </c>
      <c r="AG31" s="709" t="str">
        <f>IFERROR(INDEX(V!R$7:R$62,MATCH(AH31,V!L$7:L$62,0)),"")</f>
        <v/>
      </c>
      <c r="AH31" s="710" t="str">
        <f t="shared" si="11"/>
        <v/>
      </c>
      <c r="AI31" s="709" t="str">
        <f>IFERROR(INDEX(V!R$7:R$62,MATCH(AJ31,V!L$7:L$62,0)),"")</f>
        <v/>
      </c>
      <c r="AJ31" s="710" t="str">
        <f t="shared" si="12"/>
        <v/>
      </c>
      <c r="AK31" s="709" t="str">
        <f>IFERROR(INDEX(V!R$7:R$62,MATCH(AL31,V!L$7:L$62,0)),"")</f>
        <v/>
      </c>
      <c r="AL31" s="710" t="str">
        <f t="shared" si="13"/>
        <v/>
      </c>
      <c r="AM31" s="652"/>
    </row>
    <row r="32" spans="1:39"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row>
    <row r="33" spans="1:39"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row>
    <row r="34" spans="1:39"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row>
    <row r="35" spans="1:39"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row>
    <row r="36" spans="1:39"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2"/>
    </row>
    <row r="133" spans="1:39"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c r="AH133" s="652"/>
      <c r="AI133" s="652"/>
      <c r="AJ133" s="652"/>
      <c r="AK133" s="652"/>
      <c r="AL133" s="652"/>
      <c r="AM133" s="652"/>
    </row>
    <row r="134" spans="1:39" x14ac:dyDescent="0.2">
      <c r="A134" s="652"/>
      <c r="B134" s="652"/>
      <c r="C134" s="652"/>
      <c r="D134" s="652"/>
      <c r="E134" s="652"/>
      <c r="F134" s="652"/>
      <c r="G134" s="652"/>
      <c r="H134" s="652"/>
      <c r="I134" s="652"/>
      <c r="J134" s="652"/>
      <c r="K134" s="652"/>
      <c r="L134" s="652"/>
      <c r="M134" s="652"/>
      <c r="N134" s="652"/>
      <c r="O134" s="652"/>
      <c r="P134" s="652"/>
      <c r="Q134" s="652"/>
      <c r="R134" s="652"/>
      <c r="S134" s="652"/>
      <c r="T134" s="652"/>
      <c r="U134" s="652"/>
      <c r="V134" s="652"/>
      <c r="W134" s="652"/>
      <c r="X134" s="652"/>
      <c r="Y134" s="652"/>
      <c r="Z134" s="652"/>
      <c r="AA134" s="652"/>
      <c r="AB134" s="652"/>
      <c r="AC134" s="652"/>
      <c r="AD134" s="652"/>
      <c r="AE134" s="652"/>
      <c r="AF134" s="652"/>
      <c r="AG134" s="652"/>
      <c r="AH134" s="652"/>
      <c r="AI134" s="652"/>
      <c r="AJ134" s="652"/>
      <c r="AK134" s="652"/>
      <c r="AL134" s="652"/>
      <c r="AM134" s="652"/>
    </row>
    <row r="135" spans="1:39" x14ac:dyDescent="0.2">
      <c r="A135" s="652"/>
      <c r="B135" s="652"/>
      <c r="C135" s="652"/>
      <c r="D135" s="652"/>
      <c r="E135" s="652"/>
      <c r="F135" s="652"/>
      <c r="G135" s="652"/>
      <c r="H135" s="652"/>
      <c r="I135" s="652"/>
      <c r="J135" s="652"/>
      <c r="K135" s="652"/>
      <c r="L135" s="652"/>
      <c r="M135" s="652"/>
      <c r="N135" s="652"/>
      <c r="O135" s="652"/>
      <c r="P135" s="652"/>
      <c r="Q135" s="652"/>
      <c r="R135" s="652"/>
      <c r="S135" s="652"/>
      <c r="T135" s="652"/>
      <c r="U135" s="652"/>
      <c r="V135" s="652"/>
      <c r="W135" s="652"/>
      <c r="X135" s="652"/>
      <c r="Y135" s="652"/>
      <c r="Z135" s="652"/>
      <c r="AA135" s="652"/>
      <c r="AB135" s="652"/>
      <c r="AC135" s="652"/>
      <c r="AD135" s="652"/>
      <c r="AE135" s="652"/>
      <c r="AF135" s="652"/>
      <c r="AG135" s="652"/>
      <c r="AH135" s="652"/>
      <c r="AI135" s="652"/>
      <c r="AJ135" s="652"/>
      <c r="AK135" s="652"/>
      <c r="AL135" s="652"/>
      <c r="AM135" s="652"/>
    </row>
    <row r="136" spans="1:39" x14ac:dyDescent="0.2">
      <c r="A136" s="652"/>
      <c r="B136" s="652"/>
      <c r="C136" s="652"/>
      <c r="D136" s="652"/>
      <c r="E136" s="652"/>
      <c r="F136" s="652"/>
      <c r="G136" s="652"/>
      <c r="H136" s="652"/>
      <c r="I136" s="652"/>
      <c r="J136" s="652"/>
      <c r="K136" s="652"/>
      <c r="L136" s="652"/>
      <c r="M136" s="652"/>
      <c r="N136" s="652"/>
      <c r="O136" s="652"/>
      <c r="P136" s="652"/>
      <c r="Q136" s="652"/>
      <c r="R136" s="652"/>
      <c r="S136" s="652"/>
      <c r="T136" s="652"/>
      <c r="U136" s="652"/>
      <c r="V136" s="652"/>
      <c r="W136" s="652"/>
      <c r="X136" s="652"/>
      <c r="Y136" s="652"/>
      <c r="Z136" s="652"/>
      <c r="AA136" s="652"/>
      <c r="AB136" s="652"/>
      <c r="AC136" s="652"/>
      <c r="AD136" s="652"/>
      <c r="AE136" s="652"/>
      <c r="AF136" s="652"/>
      <c r="AG136" s="652"/>
      <c r="AH136" s="652"/>
      <c r="AI136" s="652"/>
      <c r="AJ136" s="652"/>
      <c r="AK136" s="652"/>
      <c r="AL136" s="652"/>
      <c r="AM136" s="652"/>
    </row>
    <row r="137" spans="1:39" x14ac:dyDescent="0.2">
      <c r="A137" s="652"/>
      <c r="B137" s="652"/>
      <c r="C137" s="652"/>
      <c r="D137" s="652"/>
      <c r="E137" s="652"/>
      <c r="F137" s="652"/>
      <c r="G137" s="652"/>
      <c r="H137" s="652"/>
      <c r="I137" s="652"/>
      <c r="J137" s="652"/>
      <c r="K137" s="652"/>
      <c r="L137" s="652"/>
      <c r="M137" s="652"/>
      <c r="N137" s="652"/>
      <c r="O137" s="652"/>
      <c r="P137" s="652"/>
      <c r="Q137" s="652"/>
      <c r="R137" s="652"/>
      <c r="S137" s="652"/>
      <c r="T137" s="652"/>
      <c r="U137" s="652"/>
      <c r="V137" s="652"/>
      <c r="W137" s="652"/>
      <c r="X137" s="652"/>
      <c r="Y137" s="652"/>
      <c r="Z137" s="652"/>
      <c r="AA137" s="652"/>
      <c r="AB137" s="652"/>
      <c r="AC137" s="652"/>
      <c r="AD137" s="652"/>
      <c r="AE137" s="652"/>
      <c r="AF137" s="652"/>
      <c r="AG137" s="652"/>
      <c r="AH137" s="652"/>
      <c r="AI137" s="652"/>
      <c r="AJ137" s="652"/>
      <c r="AK137" s="652"/>
      <c r="AL137" s="652"/>
      <c r="AM137" s="652"/>
    </row>
    <row r="138" spans="1:39" x14ac:dyDescent="0.2">
      <c r="A138" s="652"/>
      <c r="B138" s="652"/>
      <c r="C138" s="652"/>
      <c r="D138" s="652"/>
      <c r="E138" s="652"/>
      <c r="F138" s="652"/>
      <c r="G138" s="652"/>
      <c r="H138" s="652"/>
      <c r="I138" s="652"/>
      <c r="J138" s="652"/>
      <c r="K138" s="652"/>
      <c r="L138" s="652"/>
      <c r="M138" s="652"/>
      <c r="N138" s="652"/>
      <c r="O138" s="652"/>
      <c r="P138" s="652"/>
      <c r="Q138" s="652"/>
      <c r="R138" s="652"/>
      <c r="S138" s="652"/>
      <c r="T138" s="652"/>
      <c r="U138" s="652"/>
      <c r="V138" s="652"/>
      <c r="W138" s="652"/>
      <c r="X138" s="652"/>
      <c r="Y138" s="652"/>
      <c r="Z138" s="652"/>
      <c r="AA138" s="652"/>
      <c r="AB138" s="652"/>
      <c r="AC138" s="652"/>
      <c r="AD138" s="652"/>
      <c r="AE138" s="652"/>
      <c r="AF138" s="652"/>
      <c r="AG138" s="652"/>
      <c r="AH138" s="652"/>
      <c r="AI138" s="652"/>
      <c r="AJ138" s="652"/>
      <c r="AK138" s="652"/>
      <c r="AL138" s="652"/>
      <c r="AM138" s="652"/>
    </row>
    <row r="139" spans="1:39" x14ac:dyDescent="0.2">
      <c r="A139" s="652"/>
      <c r="B139" s="652"/>
      <c r="C139" s="652"/>
      <c r="D139" s="652"/>
      <c r="E139" s="652"/>
      <c r="F139" s="652"/>
      <c r="G139" s="652"/>
      <c r="H139" s="652"/>
      <c r="I139" s="652"/>
      <c r="J139" s="652"/>
      <c r="K139" s="652"/>
      <c r="L139" s="652"/>
      <c r="M139" s="652"/>
      <c r="N139" s="652"/>
      <c r="O139" s="652"/>
      <c r="P139" s="652"/>
      <c r="Q139" s="652"/>
      <c r="R139" s="652"/>
      <c r="S139" s="652"/>
      <c r="T139" s="652"/>
      <c r="U139" s="652"/>
      <c r="V139" s="652"/>
      <c r="W139" s="652"/>
      <c r="X139" s="652"/>
      <c r="Y139" s="652"/>
      <c r="Z139" s="652"/>
      <c r="AA139" s="652"/>
      <c r="AB139" s="652"/>
      <c r="AC139" s="652"/>
      <c r="AD139" s="652"/>
      <c r="AE139" s="652"/>
      <c r="AF139" s="652"/>
      <c r="AG139" s="652"/>
      <c r="AH139" s="652"/>
      <c r="AI139" s="652"/>
      <c r="AJ139" s="652"/>
      <c r="AK139" s="652"/>
      <c r="AL139" s="652"/>
      <c r="AM139" s="652"/>
    </row>
    <row r="140" spans="1:39" x14ac:dyDescent="0.2">
      <c r="A140" s="652"/>
      <c r="B140" s="652"/>
      <c r="C140" s="652"/>
      <c r="D140" s="652"/>
      <c r="E140" s="652"/>
      <c r="F140" s="652"/>
      <c r="G140" s="652"/>
      <c r="H140" s="652"/>
      <c r="I140" s="652"/>
      <c r="J140" s="652"/>
      <c r="K140" s="652"/>
      <c r="L140" s="652"/>
      <c r="M140" s="652"/>
      <c r="N140" s="652"/>
      <c r="O140" s="652"/>
      <c r="P140" s="652"/>
      <c r="Q140" s="652"/>
      <c r="R140" s="652"/>
      <c r="S140" s="652"/>
      <c r="T140" s="652"/>
      <c r="U140" s="652"/>
      <c r="V140" s="652"/>
      <c r="W140" s="652"/>
      <c r="X140" s="652"/>
      <c r="Y140" s="652"/>
      <c r="Z140" s="652"/>
      <c r="AA140" s="652"/>
      <c r="AB140" s="652"/>
      <c r="AC140" s="652"/>
      <c r="AD140" s="652"/>
      <c r="AE140" s="652"/>
      <c r="AF140" s="652"/>
      <c r="AG140" s="652"/>
      <c r="AH140" s="652"/>
      <c r="AI140" s="652"/>
      <c r="AJ140" s="652"/>
      <c r="AK140" s="652"/>
      <c r="AL140" s="652"/>
      <c r="AM140" s="652"/>
    </row>
    <row r="141" spans="1:39" x14ac:dyDescent="0.2">
      <c r="A141" s="652"/>
      <c r="B141" s="652"/>
      <c r="C141" s="652"/>
      <c r="D141" s="652"/>
      <c r="E141" s="652"/>
      <c r="F141" s="652"/>
      <c r="G141" s="652"/>
      <c r="H141" s="652"/>
      <c r="I141" s="652"/>
      <c r="J141" s="652"/>
      <c r="K141" s="652"/>
      <c r="L141" s="652"/>
      <c r="M141" s="652"/>
      <c r="N141" s="652"/>
      <c r="O141" s="652"/>
      <c r="P141" s="652"/>
      <c r="Q141" s="652"/>
      <c r="R141" s="652"/>
      <c r="S141" s="652"/>
      <c r="T141" s="652"/>
      <c r="U141" s="652"/>
      <c r="V141" s="652"/>
      <c r="W141" s="652"/>
      <c r="X141" s="652"/>
      <c r="Y141" s="652"/>
      <c r="Z141" s="652"/>
      <c r="AA141" s="652"/>
      <c r="AB141" s="652"/>
      <c r="AC141" s="652"/>
      <c r="AD141" s="652"/>
      <c r="AE141" s="652"/>
      <c r="AF141" s="652"/>
      <c r="AG141" s="652"/>
      <c r="AH141" s="652"/>
      <c r="AI141" s="652"/>
      <c r="AJ141" s="652"/>
      <c r="AK141" s="652"/>
      <c r="AL141" s="652"/>
      <c r="AM141" s="652"/>
    </row>
    <row r="142" spans="1:39" x14ac:dyDescent="0.2">
      <c r="A142" s="652"/>
      <c r="B142" s="652"/>
      <c r="C142" s="652"/>
      <c r="D142" s="652"/>
      <c r="E142" s="652"/>
      <c r="F142" s="652"/>
      <c r="G142" s="652"/>
      <c r="H142" s="652"/>
      <c r="I142" s="652"/>
      <c r="J142" s="652"/>
      <c r="K142" s="652"/>
      <c r="L142" s="652"/>
      <c r="M142" s="652"/>
      <c r="N142" s="652"/>
      <c r="O142" s="652"/>
      <c r="P142" s="652"/>
      <c r="Q142" s="652"/>
      <c r="R142" s="652"/>
      <c r="S142" s="652"/>
      <c r="T142" s="652"/>
      <c r="U142" s="652"/>
      <c r="V142" s="652"/>
      <c r="W142" s="652"/>
      <c r="X142" s="652"/>
      <c r="Y142" s="652"/>
      <c r="Z142" s="652"/>
      <c r="AA142" s="652"/>
      <c r="AB142" s="652"/>
      <c r="AC142" s="652"/>
      <c r="AD142" s="652"/>
      <c r="AE142" s="652"/>
      <c r="AF142" s="652"/>
      <c r="AG142" s="652"/>
      <c r="AH142" s="652"/>
      <c r="AI142" s="652"/>
      <c r="AJ142" s="652"/>
      <c r="AK142" s="652"/>
      <c r="AL142" s="652"/>
      <c r="AM142" s="652"/>
    </row>
    <row r="143" spans="1:39" x14ac:dyDescent="0.2">
      <c r="A143" s="652"/>
      <c r="B143" s="652"/>
      <c r="C143" s="652"/>
      <c r="D143" s="652"/>
      <c r="E143" s="652"/>
      <c r="F143" s="652"/>
      <c r="G143" s="652"/>
      <c r="H143" s="652"/>
      <c r="I143" s="652"/>
      <c r="J143" s="652"/>
      <c r="K143" s="652"/>
      <c r="L143" s="652"/>
      <c r="M143" s="652"/>
      <c r="N143" s="652"/>
      <c r="O143" s="652"/>
      <c r="P143" s="652"/>
      <c r="Q143" s="652"/>
      <c r="R143" s="652"/>
      <c r="S143" s="652"/>
      <c r="T143" s="652"/>
      <c r="U143" s="652"/>
      <c r="V143" s="652"/>
      <c r="W143" s="652"/>
      <c r="X143" s="652"/>
      <c r="Y143" s="652"/>
      <c r="Z143" s="652"/>
      <c r="AA143" s="652"/>
      <c r="AB143" s="652"/>
      <c r="AC143" s="652"/>
      <c r="AD143" s="652"/>
      <c r="AE143" s="652"/>
      <c r="AF143" s="652"/>
      <c r="AG143" s="652"/>
      <c r="AH143" s="652"/>
      <c r="AI143" s="652"/>
      <c r="AJ143" s="652"/>
      <c r="AK143" s="652"/>
      <c r="AL143" s="652"/>
      <c r="AM143" s="652"/>
    </row>
    <row r="144" spans="1:39" x14ac:dyDescent="0.2">
      <c r="A144" s="652"/>
      <c r="B144" s="652"/>
      <c r="C144" s="652"/>
      <c r="D144" s="652"/>
      <c r="E144" s="652"/>
      <c r="F144" s="652"/>
      <c r="G144" s="652"/>
      <c r="H144" s="652"/>
      <c r="I144" s="652"/>
      <c r="J144" s="652"/>
      <c r="K144" s="652"/>
      <c r="L144" s="652"/>
      <c r="M144" s="652"/>
      <c r="N144" s="652"/>
      <c r="O144" s="652"/>
      <c r="P144" s="652"/>
      <c r="Q144" s="652"/>
      <c r="R144" s="652"/>
      <c r="S144" s="652"/>
      <c r="T144" s="652"/>
      <c r="U144" s="652"/>
      <c r="V144" s="652"/>
      <c r="W144" s="652"/>
      <c r="X144" s="652"/>
      <c r="Y144" s="652"/>
      <c r="Z144" s="652"/>
      <c r="AA144" s="652"/>
      <c r="AB144" s="652"/>
      <c r="AC144" s="652"/>
      <c r="AD144" s="652"/>
      <c r="AE144" s="652"/>
      <c r="AF144" s="652"/>
      <c r="AG144" s="652"/>
      <c r="AH144" s="652"/>
      <c r="AI144" s="652"/>
      <c r="AJ144" s="652"/>
      <c r="AK144" s="652"/>
      <c r="AL144" s="652"/>
      <c r="AM144" s="652"/>
    </row>
    <row r="145" spans="1:39" x14ac:dyDescent="0.2">
      <c r="A145" s="652"/>
      <c r="B145" s="652"/>
      <c r="C145" s="652"/>
      <c r="D145" s="652"/>
      <c r="E145" s="652"/>
      <c r="F145" s="652"/>
      <c r="G145" s="652"/>
      <c r="H145" s="652"/>
      <c r="I145" s="652"/>
      <c r="J145" s="652"/>
      <c r="K145" s="652"/>
      <c r="L145" s="652"/>
      <c r="M145" s="652"/>
      <c r="N145" s="652"/>
      <c r="O145" s="652"/>
      <c r="P145" s="652"/>
      <c r="Q145" s="652"/>
      <c r="R145" s="652"/>
      <c r="S145" s="652"/>
      <c r="T145" s="652"/>
      <c r="U145" s="652"/>
      <c r="V145" s="652"/>
      <c r="W145" s="652"/>
      <c r="X145" s="652"/>
      <c r="Y145" s="652"/>
      <c r="Z145" s="652"/>
      <c r="AA145" s="652"/>
      <c r="AB145" s="652"/>
      <c r="AC145" s="652"/>
      <c r="AD145" s="652"/>
      <c r="AE145" s="652"/>
      <c r="AF145" s="652"/>
      <c r="AG145" s="652"/>
      <c r="AH145" s="652"/>
      <c r="AI145" s="652"/>
      <c r="AJ145" s="652"/>
      <c r="AK145" s="652"/>
      <c r="AL145" s="652"/>
      <c r="AM145" s="652"/>
    </row>
    <row r="146" spans="1:39" x14ac:dyDescent="0.2">
      <c r="A146" s="652"/>
      <c r="B146" s="652"/>
      <c r="C146" s="652"/>
      <c r="D146" s="652"/>
      <c r="E146" s="652"/>
      <c r="F146" s="652"/>
      <c r="G146" s="652"/>
      <c r="H146" s="652"/>
      <c r="I146" s="652"/>
      <c r="J146" s="652"/>
      <c r="K146" s="652"/>
      <c r="L146" s="652"/>
      <c r="M146" s="652"/>
      <c r="N146" s="652"/>
      <c r="O146" s="652"/>
      <c r="P146" s="652"/>
      <c r="Q146" s="652"/>
      <c r="R146" s="652"/>
      <c r="S146" s="652"/>
      <c r="T146" s="652"/>
      <c r="U146" s="652"/>
      <c r="V146" s="652"/>
      <c r="W146" s="652"/>
      <c r="X146" s="652"/>
      <c r="Y146" s="652"/>
      <c r="Z146" s="652"/>
      <c r="AA146" s="652"/>
      <c r="AB146" s="652"/>
      <c r="AC146" s="652"/>
      <c r="AD146" s="652"/>
      <c r="AE146" s="652"/>
      <c r="AF146" s="652"/>
      <c r="AG146" s="652"/>
      <c r="AH146" s="652"/>
      <c r="AI146" s="652"/>
      <c r="AJ146" s="652"/>
      <c r="AK146" s="652"/>
      <c r="AL146" s="652"/>
      <c r="AM146" s="652"/>
    </row>
    <row r="147" spans="1:39"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c r="AI148" s="652"/>
      <c r="AJ148" s="652"/>
      <c r="AK148" s="652"/>
      <c r="AL148" s="652"/>
      <c r="AM148" s="652"/>
    </row>
    <row r="149" spans="1:39"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c r="AH149" s="652"/>
      <c r="AI149" s="652"/>
      <c r="AJ149" s="652"/>
      <c r="AK149" s="652"/>
      <c r="AL149" s="652"/>
      <c r="AM149" s="652"/>
    </row>
    <row r="150" spans="1:39" x14ac:dyDescent="0.2">
      <c r="A150" s="652"/>
      <c r="B150" s="652"/>
      <c r="C150" s="652"/>
      <c r="D150" s="652"/>
      <c r="E150" s="652"/>
      <c r="F150" s="652"/>
      <c r="G150" s="652"/>
      <c r="H150" s="652"/>
      <c r="I150" s="652"/>
      <c r="J150" s="652"/>
      <c r="K150" s="652"/>
      <c r="L150" s="657"/>
      <c r="M150" s="657"/>
      <c r="N150" s="657"/>
      <c r="O150" s="652"/>
      <c r="P150" s="652"/>
      <c r="Q150" s="652"/>
      <c r="R150" s="652"/>
      <c r="S150" s="652"/>
      <c r="T150" s="657"/>
      <c r="U150" s="657"/>
      <c r="V150" s="657"/>
      <c r="W150" s="652"/>
      <c r="X150" s="652"/>
      <c r="Y150" s="652"/>
      <c r="Z150" s="652"/>
      <c r="AA150" s="652"/>
      <c r="AB150" s="652"/>
      <c r="AC150" s="652"/>
      <c r="AD150" s="652"/>
      <c r="AE150" s="652"/>
      <c r="AF150" s="652"/>
      <c r="AG150" s="652"/>
      <c r="AH150" s="652"/>
      <c r="AI150" s="652"/>
      <c r="AJ150" s="652"/>
      <c r="AK150" s="652"/>
      <c r="AL150" s="652"/>
      <c r="AM150" s="652"/>
    </row>
    <row r="151" spans="1:39" x14ac:dyDescent="0.2">
      <c r="A151" s="652"/>
      <c r="B151" s="652"/>
      <c r="C151" s="652"/>
      <c r="D151" s="652"/>
      <c r="E151" s="652"/>
      <c r="F151" s="652"/>
      <c r="G151" s="652"/>
      <c r="H151" s="652"/>
      <c r="I151" s="652"/>
      <c r="J151" s="652"/>
      <c r="K151" s="652"/>
      <c r="L151" s="657"/>
      <c r="M151" s="657"/>
      <c r="N151" s="657"/>
      <c r="O151" s="652"/>
      <c r="P151" s="652"/>
      <c r="Q151" s="652"/>
      <c r="R151" s="652"/>
      <c r="S151" s="652"/>
      <c r="T151" s="657"/>
      <c r="U151" s="657"/>
      <c r="V151" s="657"/>
      <c r="W151" s="652"/>
      <c r="X151" s="652"/>
      <c r="Y151" s="652"/>
      <c r="Z151" s="652"/>
      <c r="AA151" s="652"/>
      <c r="AB151" s="652"/>
      <c r="AC151" s="652"/>
      <c r="AD151" s="652"/>
      <c r="AE151" s="652"/>
      <c r="AF151" s="652"/>
      <c r="AG151" s="652"/>
      <c r="AH151" s="652"/>
      <c r="AI151" s="652"/>
      <c r="AJ151" s="652"/>
      <c r="AK151" s="652"/>
      <c r="AL151" s="652"/>
      <c r="AM151" s="652"/>
    </row>
    <row r="152" spans="1:39" x14ac:dyDescent="0.2">
      <c r="A152" s="652"/>
      <c r="B152" s="652"/>
      <c r="C152" s="652"/>
      <c r="D152" s="652"/>
      <c r="E152" s="652"/>
      <c r="F152" s="652"/>
      <c r="G152" s="652"/>
      <c r="H152" s="652"/>
      <c r="I152" s="652"/>
      <c r="J152" s="652"/>
      <c r="K152" s="652"/>
      <c r="L152" s="657"/>
      <c r="M152" s="657"/>
      <c r="N152" s="657"/>
      <c r="O152" s="652"/>
      <c r="P152" s="652"/>
      <c r="Q152" s="652"/>
      <c r="R152" s="652"/>
      <c r="S152" s="652"/>
      <c r="T152" s="657"/>
      <c r="U152" s="657"/>
      <c r="V152" s="657"/>
      <c r="W152" s="652"/>
      <c r="X152" s="652"/>
      <c r="Y152" s="652"/>
      <c r="Z152" s="652"/>
      <c r="AA152" s="652"/>
      <c r="AB152" s="652"/>
      <c r="AC152" s="652"/>
      <c r="AD152" s="652"/>
      <c r="AE152" s="652"/>
      <c r="AF152" s="652"/>
      <c r="AG152" s="652"/>
      <c r="AH152" s="652"/>
      <c r="AI152" s="652"/>
      <c r="AJ152" s="652"/>
      <c r="AK152" s="652"/>
      <c r="AL152" s="652"/>
      <c r="AM152" s="652"/>
    </row>
    <row r="153" spans="1:39" x14ac:dyDescent="0.2">
      <c r="A153" s="652"/>
      <c r="B153" s="652"/>
      <c r="C153" s="652"/>
      <c r="D153" s="652"/>
      <c r="E153" s="652"/>
      <c r="F153" s="652"/>
      <c r="G153" s="652"/>
      <c r="H153" s="652"/>
      <c r="I153" s="652"/>
      <c r="J153" s="652"/>
      <c r="K153" s="652"/>
      <c r="L153" s="657"/>
      <c r="M153" s="657"/>
      <c r="N153" s="657"/>
      <c r="O153" s="652"/>
      <c r="P153" s="652"/>
      <c r="Q153" s="652"/>
      <c r="R153" s="652"/>
      <c r="S153" s="652"/>
      <c r="T153" s="657"/>
      <c r="U153" s="657"/>
      <c r="V153" s="657"/>
      <c r="W153" s="652"/>
      <c r="X153" s="652"/>
      <c r="Y153" s="652"/>
      <c r="Z153" s="652"/>
      <c r="AA153" s="652"/>
      <c r="AB153" s="652"/>
      <c r="AC153" s="652"/>
      <c r="AD153" s="652"/>
      <c r="AE153" s="652"/>
      <c r="AF153" s="652"/>
      <c r="AG153" s="652"/>
      <c r="AH153" s="652"/>
      <c r="AI153" s="652"/>
      <c r="AJ153" s="652"/>
      <c r="AK153" s="652"/>
      <c r="AL153" s="652"/>
      <c r="AM153" s="652"/>
    </row>
    <row r="154" spans="1:39" x14ac:dyDescent="0.2">
      <c r="A154" s="652"/>
      <c r="B154" s="652"/>
      <c r="C154" s="652"/>
      <c r="D154" s="652"/>
      <c r="E154" s="652"/>
      <c r="F154" s="652"/>
      <c r="G154" s="652"/>
      <c r="H154" s="652"/>
      <c r="I154" s="652"/>
      <c r="J154" s="652"/>
      <c r="K154" s="652"/>
      <c r="L154" s="657"/>
      <c r="M154" s="657"/>
      <c r="N154" s="657"/>
      <c r="O154" s="652"/>
      <c r="P154" s="652"/>
      <c r="Q154" s="652"/>
      <c r="R154" s="652"/>
      <c r="S154" s="652"/>
      <c r="T154" s="657"/>
      <c r="U154" s="657"/>
      <c r="V154" s="657"/>
      <c r="W154" s="652"/>
      <c r="X154" s="652"/>
      <c r="Y154" s="652"/>
      <c r="Z154" s="652"/>
      <c r="AA154" s="652"/>
      <c r="AB154" s="652"/>
      <c r="AC154" s="652"/>
      <c r="AD154" s="652"/>
      <c r="AE154" s="652"/>
      <c r="AF154" s="652"/>
      <c r="AG154" s="652"/>
      <c r="AH154" s="652"/>
      <c r="AI154" s="652"/>
      <c r="AJ154" s="652"/>
      <c r="AK154" s="652"/>
      <c r="AL154" s="652"/>
      <c r="AM154" s="652"/>
    </row>
    <row r="155" spans="1:39" x14ac:dyDescent="0.2">
      <c r="A155" s="652"/>
      <c r="B155" s="652"/>
      <c r="C155" s="652"/>
      <c r="D155" s="652"/>
      <c r="E155" s="652"/>
      <c r="F155" s="652"/>
      <c r="G155" s="652"/>
      <c r="H155" s="652"/>
      <c r="I155" s="652"/>
      <c r="J155" s="652"/>
      <c r="K155" s="652"/>
      <c r="L155" s="657"/>
      <c r="M155" s="657"/>
      <c r="N155" s="657"/>
      <c r="O155" s="652"/>
      <c r="P155" s="652"/>
      <c r="Q155" s="652"/>
      <c r="R155" s="652"/>
      <c r="S155" s="652"/>
      <c r="T155" s="657"/>
      <c r="U155" s="657"/>
      <c r="V155" s="657"/>
      <c r="W155" s="652"/>
      <c r="X155" s="652"/>
      <c r="Y155" s="652"/>
      <c r="Z155" s="652"/>
      <c r="AA155" s="652"/>
      <c r="AB155" s="652"/>
      <c r="AC155" s="652"/>
      <c r="AD155" s="652"/>
      <c r="AE155" s="652"/>
      <c r="AF155" s="652"/>
      <c r="AG155" s="652"/>
      <c r="AH155" s="652"/>
      <c r="AI155" s="652"/>
      <c r="AJ155" s="652"/>
      <c r="AK155" s="652"/>
      <c r="AL155" s="652"/>
      <c r="AM155" s="652"/>
    </row>
    <row r="156" spans="1:39" x14ac:dyDescent="0.2">
      <c r="A156" s="652"/>
      <c r="B156" s="652"/>
      <c r="C156" s="652"/>
      <c r="D156" s="652"/>
      <c r="E156" s="652"/>
      <c r="F156" s="652"/>
      <c r="G156" s="652"/>
      <c r="H156" s="652"/>
      <c r="I156" s="652"/>
      <c r="J156" s="652"/>
      <c r="K156" s="652"/>
      <c r="L156" s="657"/>
      <c r="M156" s="657"/>
      <c r="N156" s="657"/>
      <c r="O156" s="652"/>
      <c r="P156" s="652"/>
      <c r="Q156" s="652"/>
      <c r="R156" s="652"/>
      <c r="S156" s="652"/>
      <c r="T156" s="657"/>
      <c r="U156" s="657"/>
      <c r="V156" s="657"/>
      <c r="W156" s="652"/>
      <c r="X156" s="652"/>
      <c r="Y156" s="652"/>
      <c r="Z156" s="652"/>
      <c r="AA156" s="652"/>
      <c r="AB156" s="652"/>
      <c r="AC156" s="652"/>
      <c r="AD156" s="652"/>
      <c r="AE156" s="652"/>
      <c r="AF156" s="652"/>
      <c r="AG156" s="652"/>
      <c r="AH156" s="652"/>
      <c r="AI156" s="652"/>
      <c r="AJ156" s="652"/>
      <c r="AK156" s="652"/>
      <c r="AL156" s="652"/>
      <c r="AM156" s="652"/>
    </row>
    <row r="157" spans="1:39" x14ac:dyDescent="0.2">
      <c r="A157" s="652"/>
      <c r="B157" s="652"/>
      <c r="C157" s="652"/>
      <c r="D157" s="652"/>
      <c r="E157" s="652"/>
      <c r="F157" s="652"/>
      <c r="G157" s="652"/>
      <c r="H157" s="652"/>
      <c r="I157" s="652"/>
      <c r="J157" s="652"/>
      <c r="K157" s="652"/>
      <c r="L157" s="657"/>
      <c r="M157" s="657"/>
      <c r="N157" s="657"/>
      <c r="O157" s="652"/>
      <c r="P157" s="652"/>
      <c r="Q157" s="652"/>
      <c r="R157" s="652"/>
      <c r="S157" s="652"/>
      <c r="T157" s="657"/>
      <c r="U157" s="657"/>
      <c r="V157" s="657"/>
      <c r="W157" s="652"/>
      <c r="X157" s="652"/>
      <c r="Y157" s="652"/>
      <c r="Z157" s="652"/>
      <c r="AA157" s="652"/>
      <c r="AB157" s="652"/>
      <c r="AC157" s="652"/>
      <c r="AD157" s="652"/>
      <c r="AE157" s="652"/>
      <c r="AF157" s="652"/>
      <c r="AG157" s="652"/>
      <c r="AH157" s="652"/>
      <c r="AI157" s="652"/>
      <c r="AJ157" s="652"/>
      <c r="AK157" s="652"/>
      <c r="AL157" s="652"/>
      <c r="AM157" s="652"/>
    </row>
    <row r="158" spans="1:39" x14ac:dyDescent="0.2">
      <c r="A158" s="652"/>
      <c r="B158" s="652"/>
      <c r="C158" s="652"/>
      <c r="D158" s="652"/>
      <c r="E158" s="652"/>
      <c r="F158" s="652"/>
      <c r="G158" s="652"/>
      <c r="H158" s="652"/>
      <c r="I158" s="652"/>
      <c r="J158" s="652"/>
      <c r="K158" s="652"/>
      <c r="L158" s="657"/>
      <c r="M158" s="657"/>
      <c r="N158" s="657"/>
      <c r="O158" s="652"/>
      <c r="P158" s="652"/>
      <c r="Q158" s="652"/>
      <c r="R158" s="652"/>
      <c r="S158" s="652"/>
      <c r="T158" s="657"/>
      <c r="U158" s="657"/>
      <c r="V158" s="657"/>
      <c r="W158" s="652"/>
      <c r="X158" s="652"/>
      <c r="Y158" s="652"/>
      <c r="Z158" s="652"/>
      <c r="AA158" s="652"/>
      <c r="AB158" s="652"/>
      <c r="AC158" s="652"/>
      <c r="AD158" s="652"/>
      <c r="AE158" s="652"/>
      <c r="AF158" s="652"/>
      <c r="AG158" s="652"/>
      <c r="AH158" s="652"/>
      <c r="AI158" s="652"/>
      <c r="AJ158" s="652"/>
      <c r="AK158" s="652"/>
      <c r="AL158" s="652"/>
      <c r="AM158" s="652"/>
    </row>
    <row r="159" spans="1:39" x14ac:dyDescent="0.2">
      <c r="A159" s="652"/>
      <c r="B159" s="652"/>
      <c r="C159" s="652"/>
      <c r="D159" s="652"/>
      <c r="E159" s="652"/>
      <c r="F159" s="652"/>
      <c r="G159" s="652"/>
      <c r="H159" s="652"/>
      <c r="I159" s="652"/>
      <c r="J159" s="652"/>
      <c r="K159" s="652"/>
      <c r="L159" s="657"/>
      <c r="M159" s="657"/>
      <c r="N159" s="657"/>
      <c r="O159" s="652"/>
      <c r="P159" s="652"/>
      <c r="Q159" s="652"/>
      <c r="R159" s="652"/>
      <c r="S159" s="652"/>
      <c r="T159" s="657"/>
      <c r="U159" s="657"/>
      <c r="V159" s="657"/>
      <c r="W159" s="652"/>
      <c r="X159" s="652"/>
      <c r="Y159" s="652"/>
      <c r="Z159" s="652"/>
      <c r="AA159" s="652"/>
      <c r="AB159" s="652"/>
      <c r="AC159" s="652"/>
      <c r="AD159" s="652"/>
      <c r="AE159" s="652"/>
      <c r="AF159" s="652"/>
      <c r="AG159" s="652"/>
      <c r="AH159" s="652"/>
      <c r="AI159" s="652"/>
      <c r="AJ159" s="652"/>
      <c r="AK159" s="652"/>
      <c r="AL159" s="652"/>
      <c r="AM159" s="652"/>
    </row>
    <row r="160" spans="1:39" x14ac:dyDescent="0.2">
      <c r="A160" s="652"/>
      <c r="B160" s="652"/>
      <c r="C160" s="652"/>
      <c r="D160" s="652"/>
      <c r="E160" s="652"/>
      <c r="F160" s="652"/>
      <c r="G160" s="652"/>
      <c r="H160" s="652"/>
      <c r="I160" s="652"/>
      <c r="J160" s="652"/>
      <c r="K160" s="652"/>
      <c r="L160" s="657"/>
      <c r="M160" s="657"/>
      <c r="N160" s="657"/>
      <c r="O160" s="652"/>
      <c r="P160" s="652"/>
      <c r="Q160" s="652"/>
      <c r="R160" s="652"/>
      <c r="S160" s="652"/>
      <c r="T160" s="657"/>
      <c r="U160" s="657"/>
      <c r="V160" s="657"/>
      <c r="W160" s="652"/>
      <c r="X160" s="652"/>
      <c r="Y160" s="652"/>
      <c r="Z160" s="652"/>
      <c r="AA160" s="652"/>
      <c r="AB160" s="652"/>
      <c r="AC160" s="652"/>
      <c r="AD160" s="652"/>
      <c r="AE160" s="652"/>
      <c r="AF160" s="652"/>
      <c r="AG160" s="652"/>
      <c r="AH160" s="652"/>
      <c r="AI160" s="652"/>
      <c r="AJ160" s="652"/>
      <c r="AK160" s="652"/>
      <c r="AL160" s="652"/>
      <c r="AM160" s="652"/>
    </row>
    <row r="161" spans="1:39" x14ac:dyDescent="0.2">
      <c r="A161" s="652"/>
      <c r="B161" s="652"/>
      <c r="C161" s="652"/>
      <c r="D161" s="652"/>
      <c r="E161" s="652"/>
      <c r="F161" s="652"/>
      <c r="G161" s="652"/>
      <c r="H161" s="652"/>
      <c r="I161" s="652"/>
      <c r="J161" s="652"/>
      <c r="K161" s="652"/>
      <c r="L161" s="657"/>
      <c r="M161" s="657"/>
      <c r="N161" s="657"/>
      <c r="O161" s="652"/>
      <c r="P161" s="652"/>
      <c r="Q161" s="652"/>
      <c r="R161" s="652"/>
      <c r="S161" s="652"/>
      <c r="T161" s="657"/>
      <c r="U161" s="657"/>
      <c r="V161" s="657"/>
      <c r="W161" s="652"/>
      <c r="X161" s="652"/>
      <c r="Y161" s="652"/>
      <c r="Z161" s="652"/>
      <c r="AA161" s="652"/>
      <c r="AB161" s="652"/>
      <c r="AC161" s="652"/>
      <c r="AD161" s="652"/>
      <c r="AE161" s="652"/>
      <c r="AF161" s="652"/>
      <c r="AG161" s="652"/>
      <c r="AH161" s="652"/>
      <c r="AI161" s="652"/>
      <c r="AJ161" s="652"/>
      <c r="AK161" s="652"/>
      <c r="AL161" s="652"/>
      <c r="AM161" s="652"/>
    </row>
    <row r="162" spans="1:39" x14ac:dyDescent="0.2">
      <c r="A162" s="652"/>
      <c r="B162" s="652"/>
      <c r="C162" s="652"/>
      <c r="D162" s="652"/>
      <c r="E162" s="652"/>
      <c r="F162" s="652"/>
      <c r="G162" s="652"/>
      <c r="H162" s="652"/>
      <c r="I162" s="652"/>
      <c r="J162" s="652"/>
      <c r="K162" s="652"/>
      <c r="L162" s="657"/>
      <c r="M162" s="657"/>
      <c r="N162" s="657"/>
      <c r="O162" s="652"/>
      <c r="P162" s="652"/>
      <c r="Q162" s="652"/>
      <c r="R162" s="652"/>
      <c r="S162" s="652"/>
      <c r="T162" s="657"/>
      <c r="U162" s="657"/>
      <c r="V162" s="657"/>
      <c r="W162" s="652"/>
      <c r="X162" s="652"/>
      <c r="Y162" s="652"/>
      <c r="Z162" s="652"/>
      <c r="AA162" s="652"/>
      <c r="AB162" s="652"/>
      <c r="AC162" s="652"/>
      <c r="AD162" s="652"/>
      <c r="AE162" s="652"/>
      <c r="AF162" s="652"/>
      <c r="AG162" s="652"/>
      <c r="AH162" s="652"/>
      <c r="AI162" s="652"/>
      <c r="AJ162" s="652"/>
      <c r="AK162" s="652"/>
      <c r="AL162" s="652"/>
      <c r="AM162" s="652"/>
    </row>
    <row r="163" spans="1:39" x14ac:dyDescent="0.2">
      <c r="A163" s="652"/>
      <c r="B163" s="652"/>
      <c r="C163" s="652"/>
      <c r="D163" s="652"/>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52"/>
      <c r="AE163" s="652"/>
      <c r="AF163" s="652"/>
      <c r="AG163" s="652"/>
      <c r="AH163" s="652"/>
      <c r="AI163" s="652"/>
      <c r="AJ163" s="652"/>
      <c r="AK163" s="652"/>
      <c r="AL163" s="652"/>
      <c r="AM163" s="652"/>
    </row>
    <row r="164" spans="1:39" x14ac:dyDescent="0.2">
      <c r="A164" s="652"/>
      <c r="B164" s="652"/>
      <c r="C164" s="652"/>
      <c r="D164" s="652"/>
      <c r="E164" s="652"/>
      <c r="F164" s="652"/>
      <c r="G164" s="652"/>
      <c r="H164" s="652"/>
      <c r="I164" s="652"/>
      <c r="J164" s="652"/>
      <c r="K164" s="652"/>
      <c r="L164" s="652"/>
      <c r="M164" s="652"/>
      <c r="N164" s="652"/>
      <c r="O164" s="652"/>
      <c r="P164" s="652"/>
      <c r="Q164" s="652"/>
      <c r="R164" s="652"/>
      <c r="S164" s="652"/>
      <c r="T164" s="652"/>
      <c r="U164" s="652"/>
      <c r="V164" s="652"/>
      <c r="W164" s="652"/>
      <c r="X164" s="652"/>
      <c r="Y164" s="652"/>
      <c r="Z164" s="652"/>
      <c r="AA164" s="652"/>
      <c r="AB164" s="652"/>
      <c r="AC164" s="652"/>
      <c r="AD164" s="652"/>
      <c r="AE164" s="652"/>
      <c r="AF164" s="652"/>
      <c r="AG164" s="652"/>
      <c r="AH164" s="652"/>
      <c r="AI164" s="652"/>
      <c r="AJ164" s="652"/>
      <c r="AK164" s="652"/>
      <c r="AL164" s="652"/>
      <c r="AM164" s="652"/>
    </row>
    <row r="165" spans="1:39" x14ac:dyDescent="0.2">
      <c r="A165" s="652"/>
      <c r="B165" s="652"/>
      <c r="C165" s="652"/>
      <c r="D165" s="652"/>
      <c r="E165" s="652"/>
      <c r="F165" s="652"/>
      <c r="G165" s="652"/>
      <c r="H165" s="652"/>
      <c r="I165" s="652"/>
      <c r="J165" s="652"/>
      <c r="K165" s="652"/>
      <c r="L165" s="652"/>
      <c r="M165" s="652"/>
      <c r="N165" s="652"/>
      <c r="O165" s="652"/>
      <c r="P165" s="652"/>
      <c r="Q165" s="652"/>
      <c r="R165" s="652"/>
      <c r="S165" s="652"/>
      <c r="T165" s="652"/>
      <c r="U165" s="652"/>
      <c r="V165" s="652"/>
      <c r="W165" s="652"/>
      <c r="X165" s="652"/>
      <c r="Y165" s="652"/>
      <c r="Z165" s="652"/>
      <c r="AA165" s="652"/>
      <c r="AB165" s="652"/>
      <c r="AC165" s="652"/>
      <c r="AD165" s="652"/>
      <c r="AE165" s="652"/>
      <c r="AF165" s="652"/>
      <c r="AG165" s="652"/>
      <c r="AH165" s="652"/>
      <c r="AI165" s="652"/>
      <c r="AJ165" s="652"/>
      <c r="AK165" s="652"/>
      <c r="AL165" s="652"/>
      <c r="AM165" s="652"/>
    </row>
    <row r="166" spans="1:39" x14ac:dyDescent="0.2">
      <c r="A166" s="652"/>
      <c r="B166" s="652"/>
      <c r="C166" s="652"/>
      <c r="D166" s="652"/>
      <c r="E166" s="652"/>
      <c r="F166" s="652"/>
      <c r="G166" s="652"/>
      <c r="H166" s="652"/>
      <c r="I166" s="652"/>
      <c r="J166" s="652"/>
      <c r="K166" s="652"/>
      <c r="L166" s="652"/>
      <c r="M166" s="652"/>
      <c r="N166" s="652"/>
      <c r="O166" s="652"/>
      <c r="P166" s="652"/>
      <c r="Q166" s="652"/>
      <c r="R166" s="652"/>
      <c r="S166" s="652"/>
      <c r="T166" s="652"/>
      <c r="U166" s="652"/>
      <c r="V166" s="652"/>
      <c r="W166" s="652"/>
      <c r="X166" s="652"/>
      <c r="Y166" s="652"/>
      <c r="Z166" s="652"/>
      <c r="AA166" s="652"/>
      <c r="AB166" s="652"/>
      <c r="AC166" s="652"/>
      <c r="AD166" s="652"/>
      <c r="AE166" s="652"/>
      <c r="AF166" s="652"/>
      <c r="AG166" s="652"/>
      <c r="AH166" s="652"/>
      <c r="AI166" s="652"/>
      <c r="AJ166" s="652"/>
      <c r="AK166" s="652"/>
      <c r="AL166" s="652"/>
      <c r="AM166" s="652"/>
    </row>
    <row r="167" spans="1:39" x14ac:dyDescent="0.2">
      <c r="A167" s="652"/>
      <c r="B167" s="652"/>
      <c r="C167" s="652"/>
      <c r="D167" s="652"/>
      <c r="E167" s="652"/>
      <c r="F167" s="652"/>
      <c r="G167" s="652"/>
      <c r="H167" s="652"/>
      <c r="I167" s="652"/>
      <c r="J167" s="652"/>
      <c r="K167" s="652"/>
      <c r="L167" s="652"/>
      <c r="M167" s="652"/>
      <c r="N167" s="652"/>
      <c r="O167" s="652"/>
      <c r="P167" s="652"/>
      <c r="Q167" s="652"/>
      <c r="R167" s="652"/>
      <c r="S167" s="652"/>
      <c r="T167" s="652"/>
      <c r="U167" s="652"/>
      <c r="V167" s="652"/>
      <c r="W167" s="652"/>
      <c r="X167" s="652"/>
      <c r="Y167" s="652"/>
      <c r="Z167" s="652"/>
      <c r="AA167" s="652"/>
      <c r="AB167" s="652"/>
      <c r="AC167" s="652"/>
      <c r="AD167" s="652"/>
      <c r="AE167" s="652"/>
      <c r="AF167" s="652"/>
      <c r="AG167" s="652"/>
      <c r="AH167" s="652"/>
      <c r="AI167" s="652"/>
      <c r="AJ167" s="652"/>
      <c r="AK167" s="652"/>
      <c r="AL167" s="652"/>
      <c r="AM167" s="652"/>
    </row>
    <row r="168" spans="1:39" x14ac:dyDescent="0.2">
      <c r="A168" s="652"/>
      <c r="B168" s="652"/>
      <c r="C168" s="652"/>
      <c r="D168" s="652"/>
      <c r="E168" s="652"/>
      <c r="F168" s="652"/>
      <c r="G168" s="652"/>
      <c r="H168" s="652"/>
      <c r="I168" s="652"/>
      <c r="J168" s="652"/>
      <c r="K168" s="652"/>
      <c r="L168" s="652"/>
      <c r="M168" s="652"/>
      <c r="N168" s="652"/>
      <c r="O168" s="652"/>
      <c r="P168" s="652"/>
      <c r="Q168" s="652"/>
      <c r="R168" s="652"/>
      <c r="S168" s="652"/>
      <c r="T168" s="652"/>
      <c r="U168" s="652"/>
      <c r="V168" s="652"/>
      <c r="W168" s="652"/>
      <c r="X168" s="652"/>
      <c r="Y168" s="652"/>
      <c r="Z168" s="652"/>
      <c r="AA168" s="652"/>
      <c r="AB168" s="652"/>
      <c r="AC168" s="652"/>
      <c r="AD168" s="652"/>
      <c r="AE168" s="652"/>
      <c r="AF168" s="652"/>
      <c r="AG168" s="652"/>
      <c r="AH168" s="652"/>
      <c r="AI168" s="652"/>
      <c r="AJ168" s="652"/>
      <c r="AK168" s="652"/>
      <c r="AL168" s="652"/>
      <c r="AM168" s="652"/>
    </row>
    <row r="169" spans="1:39" x14ac:dyDescent="0.2">
      <c r="A169" s="652"/>
      <c r="B169" s="652"/>
      <c r="C169" s="652"/>
      <c r="D169" s="652"/>
      <c r="E169" s="652"/>
      <c r="F169" s="652"/>
      <c r="G169" s="652"/>
      <c r="H169" s="652"/>
      <c r="I169" s="652"/>
      <c r="J169" s="652"/>
      <c r="K169" s="652"/>
      <c r="L169" s="652"/>
      <c r="M169" s="652"/>
      <c r="N169" s="652"/>
      <c r="O169" s="652"/>
      <c r="P169" s="652"/>
      <c r="Q169" s="652"/>
      <c r="R169" s="652"/>
      <c r="S169" s="652"/>
      <c r="T169" s="652"/>
      <c r="U169" s="652"/>
      <c r="V169" s="652"/>
      <c r="W169" s="652"/>
      <c r="X169" s="652"/>
      <c r="Y169" s="652"/>
      <c r="Z169" s="652"/>
      <c r="AA169" s="652"/>
      <c r="AB169" s="652"/>
      <c r="AC169" s="652"/>
      <c r="AD169" s="652"/>
      <c r="AE169" s="652"/>
      <c r="AF169" s="652"/>
      <c r="AG169" s="652"/>
      <c r="AH169" s="652"/>
      <c r="AI169" s="652"/>
      <c r="AJ169" s="652"/>
      <c r="AK169" s="652"/>
      <c r="AL169" s="652"/>
      <c r="AM169" s="652"/>
    </row>
    <row r="170" spans="1:39" x14ac:dyDescent="0.2">
      <c r="A170" s="652"/>
      <c r="B170" s="652"/>
      <c r="C170" s="652"/>
      <c r="D170" s="652"/>
      <c r="E170" s="652"/>
      <c r="F170" s="652"/>
      <c r="G170" s="652"/>
      <c r="H170" s="652"/>
      <c r="I170" s="652"/>
      <c r="J170" s="652"/>
      <c r="K170" s="652"/>
      <c r="L170" s="652"/>
      <c r="M170" s="652"/>
      <c r="N170" s="652"/>
      <c r="O170" s="652"/>
      <c r="P170" s="652"/>
      <c r="Q170" s="652"/>
      <c r="R170" s="652"/>
      <c r="S170" s="652"/>
      <c r="T170" s="652"/>
      <c r="U170" s="652"/>
      <c r="V170" s="652"/>
      <c r="W170" s="652"/>
      <c r="X170" s="652"/>
      <c r="Y170" s="652"/>
      <c r="Z170" s="652"/>
      <c r="AA170" s="652"/>
      <c r="AB170" s="652"/>
      <c r="AC170" s="652"/>
      <c r="AD170" s="652"/>
      <c r="AE170" s="652"/>
      <c r="AF170" s="652"/>
      <c r="AG170" s="652"/>
      <c r="AH170" s="652"/>
      <c r="AI170" s="652"/>
      <c r="AJ170" s="652"/>
      <c r="AK170" s="652"/>
      <c r="AL170" s="652"/>
      <c r="AM170" s="652"/>
    </row>
    <row r="171" spans="1:39" x14ac:dyDescent="0.2">
      <c r="A171" s="652"/>
      <c r="B171" s="652"/>
      <c r="C171" s="652"/>
      <c r="D171" s="652"/>
      <c r="E171" s="652"/>
      <c r="F171" s="652"/>
      <c r="G171" s="652"/>
      <c r="H171" s="652"/>
      <c r="I171" s="652"/>
      <c r="J171" s="652"/>
      <c r="K171" s="652"/>
      <c r="L171" s="652"/>
      <c r="M171" s="652"/>
      <c r="N171" s="652"/>
      <c r="O171" s="652"/>
      <c r="P171" s="652"/>
      <c r="Q171" s="652"/>
      <c r="R171" s="652"/>
      <c r="S171" s="652"/>
      <c r="T171" s="652"/>
      <c r="U171" s="652"/>
      <c r="V171" s="652"/>
      <c r="W171" s="652"/>
      <c r="X171" s="652"/>
      <c r="Y171" s="652"/>
      <c r="Z171" s="652"/>
      <c r="AA171" s="652"/>
      <c r="AB171" s="652"/>
      <c r="AC171" s="652"/>
      <c r="AD171" s="652"/>
      <c r="AE171" s="652"/>
      <c r="AF171" s="652"/>
      <c r="AG171" s="652"/>
      <c r="AH171" s="652"/>
      <c r="AI171" s="652"/>
      <c r="AJ171" s="652"/>
      <c r="AK171" s="652"/>
      <c r="AL171" s="652"/>
      <c r="AM171" s="652"/>
    </row>
    <row r="172" spans="1:39" x14ac:dyDescent="0.2">
      <c r="A172" s="652"/>
      <c r="B172" s="652"/>
      <c r="C172" s="652"/>
      <c r="D172" s="652"/>
      <c r="E172" s="652"/>
      <c r="F172" s="652"/>
      <c r="G172" s="652"/>
      <c r="H172" s="652"/>
      <c r="I172" s="652"/>
      <c r="J172" s="652"/>
      <c r="K172" s="652"/>
      <c r="L172" s="652"/>
      <c r="M172" s="652"/>
      <c r="N172" s="652"/>
      <c r="O172" s="652"/>
      <c r="P172" s="652"/>
      <c r="Q172" s="652"/>
      <c r="R172" s="652"/>
      <c r="S172" s="652"/>
      <c r="T172" s="652"/>
      <c r="U172" s="652"/>
      <c r="V172" s="652"/>
      <c r="W172" s="652"/>
      <c r="X172" s="652"/>
      <c r="Y172" s="652"/>
      <c r="Z172" s="652"/>
      <c r="AA172" s="652"/>
      <c r="AB172" s="652"/>
      <c r="AC172" s="652"/>
      <c r="AD172" s="652"/>
      <c r="AE172" s="652"/>
      <c r="AF172" s="652"/>
      <c r="AG172" s="652"/>
      <c r="AH172" s="652"/>
      <c r="AI172" s="652"/>
      <c r="AJ172" s="652"/>
      <c r="AK172" s="652"/>
      <c r="AL172" s="652"/>
      <c r="AM172" s="652"/>
    </row>
    <row r="173" spans="1:39" x14ac:dyDescent="0.2">
      <c r="A173" s="652"/>
      <c r="B173" s="652"/>
      <c r="C173" s="652"/>
      <c r="D173" s="652"/>
      <c r="E173" s="652"/>
      <c r="F173" s="652"/>
      <c r="G173" s="652"/>
      <c r="H173" s="652"/>
      <c r="I173" s="652"/>
      <c r="J173" s="652"/>
      <c r="K173" s="652"/>
      <c r="L173" s="652"/>
      <c r="M173" s="652"/>
      <c r="N173" s="652"/>
      <c r="O173" s="652"/>
      <c r="P173" s="652"/>
      <c r="Q173" s="652"/>
      <c r="R173" s="652"/>
      <c r="S173" s="652"/>
      <c r="T173" s="652"/>
      <c r="U173" s="652"/>
      <c r="V173" s="652"/>
      <c r="W173" s="652"/>
      <c r="X173" s="652"/>
      <c r="Y173" s="652"/>
      <c r="Z173" s="652"/>
      <c r="AA173" s="652"/>
      <c r="AB173" s="652"/>
      <c r="AC173" s="652"/>
      <c r="AD173" s="652"/>
      <c r="AE173" s="652"/>
      <c r="AF173" s="652"/>
      <c r="AG173" s="652"/>
      <c r="AH173" s="652"/>
      <c r="AI173" s="652"/>
      <c r="AJ173" s="652"/>
      <c r="AK173" s="652"/>
      <c r="AL173" s="652"/>
      <c r="AM173" s="652"/>
    </row>
    <row r="174" spans="1:39" x14ac:dyDescent="0.2">
      <c r="A174" s="652"/>
      <c r="B174" s="652"/>
      <c r="C174" s="652"/>
      <c r="D174" s="652"/>
      <c r="E174" s="652"/>
      <c r="F174" s="652"/>
      <c r="G174" s="652"/>
      <c r="H174" s="652"/>
      <c r="I174" s="652"/>
      <c r="J174" s="652"/>
      <c r="K174" s="652"/>
      <c r="L174" s="652"/>
      <c r="M174" s="652"/>
      <c r="N174" s="652"/>
      <c r="O174" s="652"/>
      <c r="P174" s="652"/>
      <c r="Q174" s="652"/>
      <c r="R174" s="652"/>
      <c r="S174" s="652"/>
      <c r="T174" s="652"/>
      <c r="U174" s="652"/>
      <c r="V174" s="652"/>
      <c r="W174" s="652"/>
      <c r="X174" s="652"/>
      <c r="Y174" s="652"/>
      <c r="Z174" s="652"/>
      <c r="AA174" s="652"/>
      <c r="AB174" s="652"/>
      <c r="AC174" s="652"/>
      <c r="AD174" s="652"/>
      <c r="AE174" s="652"/>
      <c r="AF174" s="652"/>
      <c r="AG174" s="652"/>
      <c r="AH174" s="652"/>
      <c r="AI174" s="652"/>
      <c r="AJ174" s="652"/>
      <c r="AK174" s="652"/>
      <c r="AL174" s="652"/>
      <c r="AM174" s="652"/>
    </row>
    <row r="175" spans="1:39" x14ac:dyDescent="0.2">
      <c r="A175" s="652"/>
      <c r="B175" s="652"/>
      <c r="C175" s="652"/>
      <c r="D175" s="652"/>
      <c r="E175" s="652"/>
      <c r="F175" s="652"/>
      <c r="G175" s="652"/>
      <c r="H175" s="652"/>
      <c r="I175" s="652"/>
      <c r="J175" s="652"/>
      <c r="K175" s="652"/>
      <c r="L175" s="652"/>
      <c r="M175" s="652"/>
      <c r="N175" s="652"/>
      <c r="O175" s="652"/>
      <c r="P175" s="652"/>
      <c r="Q175" s="652"/>
      <c r="R175" s="652"/>
      <c r="S175" s="652"/>
      <c r="T175" s="652"/>
      <c r="U175" s="652"/>
      <c r="V175" s="652"/>
      <c r="W175" s="652"/>
      <c r="X175" s="652"/>
      <c r="Y175" s="652"/>
      <c r="Z175" s="652"/>
      <c r="AA175" s="652"/>
      <c r="AB175" s="652"/>
      <c r="AC175" s="652"/>
      <c r="AD175" s="652"/>
      <c r="AE175" s="652"/>
      <c r="AF175" s="652"/>
      <c r="AG175" s="652"/>
      <c r="AH175" s="652"/>
      <c r="AI175" s="652"/>
      <c r="AJ175" s="652"/>
      <c r="AK175" s="652"/>
      <c r="AL175" s="652"/>
      <c r="AM175" s="652"/>
    </row>
    <row r="176" spans="1:39"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c r="AI284" s="652"/>
      <c r="AJ284" s="652"/>
      <c r="AK284" s="652"/>
      <c r="AL284" s="652"/>
      <c r="AM284" s="652"/>
    </row>
    <row r="285" spans="1:39"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c r="AH285" s="652"/>
      <c r="AI285" s="652"/>
      <c r="AJ285" s="652"/>
      <c r="AK285" s="652"/>
      <c r="AL285" s="652"/>
      <c r="AM285" s="652"/>
    </row>
    <row r="286" spans="1:39" x14ac:dyDescent="0.2">
      <c r="A286" s="652"/>
      <c r="B286" s="652"/>
      <c r="C286" s="652"/>
      <c r="D286" s="652"/>
      <c r="E286" s="652"/>
      <c r="F286" s="652"/>
      <c r="G286" s="652"/>
      <c r="H286" s="652"/>
      <c r="I286" s="652"/>
      <c r="J286" s="652"/>
      <c r="K286" s="652"/>
      <c r="L286" s="657"/>
      <c r="M286" s="657"/>
      <c r="N286" s="657"/>
      <c r="O286" s="652"/>
      <c r="P286" s="652"/>
      <c r="Q286" s="652"/>
      <c r="R286" s="652"/>
      <c r="S286" s="652"/>
      <c r="T286" s="657"/>
      <c r="U286" s="657"/>
      <c r="V286" s="657"/>
      <c r="W286" s="652"/>
      <c r="X286" s="652"/>
      <c r="Y286" s="652"/>
      <c r="Z286" s="652"/>
      <c r="AA286" s="652"/>
      <c r="AB286" s="652"/>
      <c r="AC286" s="652"/>
      <c r="AD286" s="652"/>
      <c r="AE286" s="652"/>
      <c r="AF286" s="652"/>
      <c r="AG286" s="652"/>
      <c r="AH286" s="652"/>
      <c r="AI286" s="652"/>
      <c r="AJ286" s="652"/>
      <c r="AK286" s="652"/>
      <c r="AL286" s="652"/>
      <c r="AM286" s="652"/>
    </row>
    <row r="287" spans="1:39" x14ac:dyDescent="0.2">
      <c r="A287" s="652"/>
      <c r="B287" s="652"/>
      <c r="C287" s="652"/>
      <c r="D287" s="652"/>
      <c r="E287" s="652"/>
      <c r="F287" s="652"/>
      <c r="G287" s="652"/>
      <c r="H287" s="652"/>
      <c r="I287" s="652"/>
      <c r="J287" s="652"/>
      <c r="K287" s="652"/>
      <c r="L287" s="657"/>
      <c r="M287" s="657"/>
      <c r="N287" s="657"/>
      <c r="O287" s="652"/>
      <c r="P287" s="652"/>
      <c r="Q287" s="652"/>
      <c r="R287" s="652"/>
      <c r="S287" s="652"/>
      <c r="T287" s="657"/>
      <c r="U287" s="657"/>
      <c r="V287" s="657"/>
      <c r="W287" s="652"/>
      <c r="X287" s="652"/>
      <c r="Y287" s="652"/>
      <c r="Z287" s="652"/>
      <c r="AA287" s="652"/>
      <c r="AB287" s="652"/>
      <c r="AC287" s="652"/>
      <c r="AD287" s="652"/>
      <c r="AE287" s="652"/>
      <c r="AF287" s="652"/>
      <c r="AG287" s="652"/>
      <c r="AH287" s="652"/>
      <c r="AI287" s="652"/>
      <c r="AJ287" s="652"/>
      <c r="AK287" s="652"/>
      <c r="AL287" s="652"/>
      <c r="AM287" s="652"/>
    </row>
    <row r="288" spans="1:39" x14ac:dyDescent="0.2">
      <c r="A288" s="652"/>
      <c r="B288" s="652"/>
      <c r="C288" s="652"/>
      <c r="D288" s="652"/>
      <c r="E288" s="652"/>
      <c r="F288" s="652"/>
      <c r="G288" s="652"/>
      <c r="H288" s="652"/>
      <c r="I288" s="652"/>
      <c r="J288" s="652"/>
      <c r="K288" s="652"/>
      <c r="L288" s="657"/>
      <c r="M288" s="657"/>
      <c r="N288" s="657"/>
      <c r="O288" s="652"/>
      <c r="P288" s="652"/>
      <c r="Q288" s="652"/>
      <c r="R288" s="652"/>
      <c r="S288" s="652"/>
      <c r="T288" s="657"/>
      <c r="U288" s="657"/>
      <c r="V288" s="657"/>
      <c r="W288" s="652"/>
      <c r="X288" s="652"/>
      <c r="Y288" s="652"/>
      <c r="Z288" s="652"/>
      <c r="AA288" s="652"/>
      <c r="AB288" s="652"/>
      <c r="AC288" s="652"/>
      <c r="AD288" s="652"/>
      <c r="AE288" s="652"/>
      <c r="AF288" s="652"/>
      <c r="AG288" s="652"/>
      <c r="AH288" s="652"/>
      <c r="AI288" s="652"/>
      <c r="AJ288" s="652"/>
      <c r="AK288" s="652"/>
      <c r="AL288" s="652"/>
      <c r="AM288" s="652"/>
    </row>
    <row r="289" spans="1:39" x14ac:dyDescent="0.2">
      <c r="A289" s="652"/>
      <c r="B289" s="652"/>
      <c r="C289" s="652"/>
      <c r="D289" s="652"/>
      <c r="E289" s="652"/>
      <c r="F289" s="652"/>
      <c r="G289" s="652"/>
      <c r="H289" s="652"/>
      <c r="I289" s="652"/>
      <c r="J289" s="652"/>
      <c r="K289" s="652"/>
      <c r="L289" s="657"/>
      <c r="M289" s="657"/>
      <c r="N289" s="657"/>
      <c r="O289" s="652"/>
      <c r="P289" s="652"/>
      <c r="Q289" s="652"/>
      <c r="R289" s="652"/>
      <c r="S289" s="652"/>
      <c r="T289" s="657"/>
      <c r="U289" s="657"/>
      <c r="V289" s="657"/>
      <c r="W289" s="652"/>
      <c r="X289" s="652"/>
      <c r="Y289" s="652"/>
      <c r="Z289" s="652"/>
      <c r="AA289" s="652"/>
      <c r="AB289" s="652"/>
      <c r="AC289" s="652"/>
      <c r="AD289" s="652"/>
      <c r="AE289" s="652"/>
      <c r="AF289" s="652"/>
      <c r="AG289" s="652"/>
      <c r="AH289" s="652"/>
      <c r="AI289" s="652"/>
      <c r="AJ289" s="652"/>
      <c r="AK289" s="652"/>
      <c r="AL289" s="652"/>
      <c r="AM289" s="652"/>
    </row>
    <row r="290" spans="1:39" x14ac:dyDescent="0.2">
      <c r="A290" s="652"/>
      <c r="B290" s="652"/>
      <c r="C290" s="652"/>
      <c r="D290" s="652"/>
      <c r="E290" s="652"/>
      <c r="F290" s="652"/>
      <c r="G290" s="652"/>
      <c r="H290" s="652"/>
      <c r="I290" s="652"/>
      <c r="J290" s="652"/>
      <c r="K290" s="652"/>
      <c r="L290" s="657"/>
      <c r="M290" s="657"/>
      <c r="N290" s="657"/>
      <c r="O290" s="652"/>
      <c r="P290" s="652"/>
      <c r="Q290" s="652"/>
      <c r="R290" s="652"/>
      <c r="S290" s="652"/>
      <c r="T290" s="657"/>
      <c r="U290" s="657"/>
      <c r="V290" s="657"/>
      <c r="W290" s="652"/>
      <c r="X290" s="652"/>
      <c r="Y290" s="652"/>
      <c r="Z290" s="652"/>
      <c r="AA290" s="652"/>
      <c r="AB290" s="652"/>
      <c r="AC290" s="652"/>
      <c r="AD290" s="652"/>
      <c r="AE290" s="652"/>
      <c r="AF290" s="652"/>
      <c r="AG290" s="652"/>
      <c r="AH290" s="652"/>
      <c r="AI290" s="652"/>
      <c r="AJ290" s="652"/>
      <c r="AK290" s="652"/>
      <c r="AL290" s="652"/>
      <c r="AM290" s="652"/>
    </row>
    <row r="291" spans="1:39" x14ac:dyDescent="0.2">
      <c r="A291" s="652"/>
      <c r="B291" s="652"/>
      <c r="C291" s="652"/>
      <c r="D291" s="652"/>
      <c r="E291" s="652"/>
      <c r="F291" s="652"/>
      <c r="G291" s="652"/>
      <c r="H291" s="652"/>
      <c r="I291" s="652"/>
      <c r="J291" s="652"/>
      <c r="K291" s="652"/>
      <c r="L291" s="657"/>
      <c r="M291" s="657"/>
      <c r="N291" s="657"/>
      <c r="O291" s="652"/>
      <c r="P291" s="652"/>
      <c r="Q291" s="652"/>
      <c r="R291" s="652"/>
      <c r="S291" s="652"/>
      <c r="T291" s="657"/>
      <c r="U291" s="657"/>
      <c r="V291" s="657"/>
      <c r="W291" s="652"/>
      <c r="X291" s="652"/>
      <c r="Y291" s="652"/>
      <c r="Z291" s="652"/>
      <c r="AA291" s="652"/>
      <c r="AB291" s="652"/>
      <c r="AC291" s="652"/>
      <c r="AD291" s="652"/>
      <c r="AE291" s="652"/>
      <c r="AF291" s="652"/>
      <c r="AG291" s="652"/>
      <c r="AH291" s="652"/>
      <c r="AI291" s="652"/>
      <c r="AJ291" s="652"/>
      <c r="AK291" s="652"/>
      <c r="AL291" s="652"/>
      <c r="AM291" s="652"/>
    </row>
    <row r="292" spans="1:39" x14ac:dyDescent="0.2">
      <c r="A292" s="652"/>
      <c r="B292" s="652"/>
      <c r="C292" s="652"/>
      <c r="D292" s="652"/>
      <c r="E292" s="652"/>
      <c r="F292" s="652"/>
      <c r="G292" s="652"/>
      <c r="H292" s="652"/>
      <c r="I292" s="652"/>
      <c r="J292" s="652"/>
      <c r="K292" s="652"/>
      <c r="L292" s="657"/>
      <c r="M292" s="657"/>
      <c r="N292" s="657"/>
      <c r="O292" s="652"/>
      <c r="P292" s="652"/>
      <c r="Q292" s="652"/>
      <c r="R292" s="652"/>
      <c r="S292" s="652"/>
      <c r="T292" s="657"/>
      <c r="U292" s="657"/>
      <c r="V292" s="657"/>
      <c r="W292" s="652"/>
      <c r="X292" s="652"/>
      <c r="Y292" s="652"/>
      <c r="Z292" s="652"/>
      <c r="AA292" s="652"/>
      <c r="AB292" s="652"/>
      <c r="AC292" s="652"/>
      <c r="AD292" s="652"/>
      <c r="AE292" s="652"/>
      <c r="AF292" s="652"/>
      <c r="AG292" s="652"/>
      <c r="AH292" s="652"/>
      <c r="AI292" s="652"/>
      <c r="AJ292" s="652"/>
      <c r="AK292" s="652"/>
      <c r="AL292" s="652"/>
      <c r="AM292" s="652"/>
    </row>
    <row r="293" spans="1:39" x14ac:dyDescent="0.2">
      <c r="A293" s="652"/>
      <c r="B293" s="652"/>
      <c r="C293" s="652"/>
      <c r="D293" s="652"/>
      <c r="E293" s="652"/>
      <c r="F293" s="652"/>
      <c r="G293" s="652"/>
      <c r="H293" s="652"/>
      <c r="I293" s="652"/>
      <c r="J293" s="652"/>
      <c r="K293" s="652"/>
      <c r="L293" s="657"/>
      <c r="M293" s="657"/>
      <c r="N293" s="657"/>
      <c r="O293" s="652"/>
      <c r="P293" s="652"/>
      <c r="Q293" s="652"/>
      <c r="R293" s="652"/>
      <c r="S293" s="652"/>
      <c r="T293" s="657"/>
      <c r="U293" s="657"/>
      <c r="V293" s="657"/>
      <c r="W293" s="652"/>
      <c r="X293" s="652"/>
      <c r="Y293" s="652"/>
      <c r="Z293" s="652"/>
      <c r="AA293" s="652"/>
      <c r="AB293" s="652"/>
      <c r="AC293" s="652"/>
      <c r="AD293" s="652"/>
      <c r="AE293" s="652"/>
      <c r="AF293" s="652"/>
      <c r="AG293" s="652"/>
      <c r="AH293" s="652"/>
      <c r="AI293" s="652"/>
      <c r="AJ293" s="652"/>
      <c r="AK293" s="652"/>
      <c r="AL293" s="652"/>
      <c r="AM293" s="652"/>
    </row>
    <row r="294" spans="1:39" x14ac:dyDescent="0.2">
      <c r="A294" s="652"/>
      <c r="B294" s="652"/>
      <c r="C294" s="652"/>
      <c r="D294" s="652"/>
      <c r="E294" s="652"/>
      <c r="F294" s="652"/>
      <c r="G294" s="652"/>
      <c r="H294" s="652"/>
      <c r="I294" s="652"/>
      <c r="J294" s="652"/>
      <c r="K294" s="652"/>
      <c r="L294" s="657"/>
      <c r="M294" s="657"/>
      <c r="N294" s="657"/>
      <c r="O294" s="652"/>
      <c r="P294" s="652"/>
      <c r="Q294" s="652"/>
      <c r="R294" s="652"/>
      <c r="S294" s="652"/>
      <c r="T294" s="657"/>
      <c r="U294" s="657"/>
      <c r="V294" s="657"/>
      <c r="W294" s="652"/>
      <c r="X294" s="652"/>
      <c r="Y294" s="652"/>
      <c r="Z294" s="652"/>
      <c r="AA294" s="652"/>
      <c r="AB294" s="652"/>
      <c r="AC294" s="652"/>
      <c r="AD294" s="652"/>
      <c r="AE294" s="652"/>
      <c r="AF294" s="652"/>
      <c r="AG294" s="652"/>
      <c r="AH294" s="652"/>
      <c r="AI294" s="652"/>
      <c r="AJ294" s="652"/>
      <c r="AK294" s="652"/>
      <c r="AL294" s="652"/>
      <c r="AM294" s="652"/>
    </row>
    <row r="295" spans="1:39" x14ac:dyDescent="0.2">
      <c r="A295" s="652"/>
      <c r="B295" s="652"/>
      <c r="C295" s="652"/>
      <c r="D295" s="652"/>
      <c r="E295" s="652"/>
      <c r="F295" s="652"/>
      <c r="G295" s="652"/>
      <c r="H295" s="652"/>
      <c r="I295" s="652"/>
      <c r="J295" s="652"/>
      <c r="K295" s="652"/>
      <c r="L295" s="657"/>
      <c r="M295" s="657"/>
      <c r="N295" s="657"/>
      <c r="O295" s="652"/>
      <c r="P295" s="652"/>
      <c r="Q295" s="652"/>
      <c r="R295" s="652"/>
      <c r="S295" s="652"/>
      <c r="T295" s="657"/>
      <c r="U295" s="657"/>
      <c r="V295" s="657"/>
      <c r="W295" s="652"/>
      <c r="X295" s="652"/>
      <c r="Y295" s="652"/>
      <c r="Z295" s="652"/>
      <c r="AA295" s="652"/>
      <c r="AB295" s="652"/>
      <c r="AC295" s="652"/>
      <c r="AD295" s="652"/>
      <c r="AE295" s="652"/>
      <c r="AF295" s="652"/>
      <c r="AG295" s="652"/>
      <c r="AH295" s="652"/>
      <c r="AI295" s="652"/>
      <c r="AJ295" s="652"/>
      <c r="AK295" s="652"/>
      <c r="AL295" s="652"/>
      <c r="AM295" s="652"/>
    </row>
    <row r="296" spans="1:39" x14ac:dyDescent="0.2">
      <c r="A296" s="652"/>
      <c r="B296" s="652"/>
      <c r="C296" s="652"/>
      <c r="D296" s="652"/>
      <c r="E296" s="652"/>
      <c r="F296" s="652"/>
      <c r="G296" s="652"/>
      <c r="H296" s="652"/>
      <c r="I296" s="652"/>
      <c r="J296" s="652"/>
      <c r="K296" s="652"/>
      <c r="L296" s="657"/>
      <c r="M296" s="657"/>
      <c r="N296" s="657"/>
      <c r="O296" s="652"/>
      <c r="P296" s="652"/>
      <c r="Q296" s="652"/>
      <c r="R296" s="652"/>
      <c r="S296" s="652"/>
      <c r="T296" s="657"/>
      <c r="U296" s="657"/>
      <c r="V296" s="657"/>
      <c r="W296" s="652"/>
      <c r="X296" s="652"/>
      <c r="Y296" s="652"/>
      <c r="Z296" s="652"/>
      <c r="AA296" s="652"/>
      <c r="AB296" s="652"/>
      <c r="AC296" s="652"/>
      <c r="AD296" s="652"/>
      <c r="AE296" s="652"/>
      <c r="AF296" s="652"/>
      <c r="AG296" s="652"/>
      <c r="AH296" s="652"/>
      <c r="AI296" s="652"/>
      <c r="AJ296" s="652"/>
      <c r="AK296" s="652"/>
      <c r="AL296" s="652"/>
      <c r="AM296" s="652"/>
    </row>
    <row r="297" spans="1:39" x14ac:dyDescent="0.2">
      <c r="A297" s="652"/>
      <c r="B297" s="652"/>
      <c r="C297" s="652"/>
      <c r="D297" s="652"/>
      <c r="E297" s="652"/>
      <c r="F297" s="652"/>
      <c r="G297" s="652"/>
      <c r="H297" s="652"/>
      <c r="I297" s="652"/>
      <c r="J297" s="652"/>
      <c r="K297" s="652"/>
      <c r="L297" s="657"/>
      <c r="M297" s="657"/>
      <c r="N297" s="657"/>
      <c r="O297" s="652"/>
      <c r="P297" s="652"/>
      <c r="Q297" s="652"/>
      <c r="R297" s="652"/>
      <c r="S297" s="652"/>
      <c r="T297" s="657"/>
      <c r="U297" s="657"/>
      <c r="V297" s="657"/>
      <c r="W297" s="652"/>
      <c r="X297" s="652"/>
      <c r="Y297" s="652"/>
      <c r="Z297" s="652"/>
      <c r="AA297" s="652"/>
      <c r="AB297" s="652"/>
      <c r="AC297" s="652"/>
      <c r="AD297" s="652"/>
      <c r="AE297" s="652"/>
      <c r="AF297" s="652"/>
      <c r="AG297" s="652"/>
      <c r="AH297" s="652"/>
      <c r="AI297" s="652"/>
      <c r="AJ297" s="652"/>
      <c r="AK297" s="652"/>
      <c r="AL297" s="652"/>
      <c r="AM297" s="652"/>
    </row>
    <row r="298" spans="1:39" x14ac:dyDescent="0.2">
      <c r="A298" s="652"/>
      <c r="B298" s="652"/>
      <c r="C298" s="652"/>
      <c r="D298" s="652"/>
      <c r="E298" s="652"/>
      <c r="F298" s="652"/>
      <c r="G298" s="652"/>
      <c r="H298" s="652"/>
      <c r="I298" s="652"/>
      <c r="J298" s="652"/>
      <c r="K298" s="652"/>
      <c r="L298" s="657"/>
      <c r="M298" s="657"/>
      <c r="N298" s="657"/>
      <c r="O298" s="652"/>
      <c r="P298" s="652"/>
      <c r="Q298" s="652"/>
      <c r="R298" s="652"/>
      <c r="S298" s="652"/>
      <c r="T298" s="657"/>
      <c r="U298" s="657"/>
      <c r="V298" s="657"/>
      <c r="W298" s="652"/>
      <c r="X298" s="652"/>
      <c r="Y298" s="652"/>
      <c r="Z298" s="652"/>
      <c r="AA298" s="652"/>
      <c r="AB298" s="652"/>
      <c r="AC298" s="652"/>
      <c r="AD298" s="652"/>
      <c r="AE298" s="652"/>
      <c r="AF298" s="652"/>
      <c r="AG298" s="652"/>
      <c r="AH298" s="652"/>
      <c r="AI298" s="652"/>
      <c r="AJ298" s="652"/>
      <c r="AK298" s="652"/>
      <c r="AL298" s="652"/>
      <c r="AM298" s="652"/>
    </row>
    <row r="299" spans="1:39" x14ac:dyDescent="0.2">
      <c r="A299" s="652"/>
      <c r="B299" s="652"/>
      <c r="C299" s="697" t="s">
        <v>182</v>
      </c>
      <c r="D299" s="698"/>
      <c r="E299" s="698"/>
      <c r="F299" s="652"/>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c r="AH299" s="652"/>
      <c r="AI299" s="652"/>
      <c r="AJ299" s="652"/>
      <c r="AK299" s="652"/>
      <c r="AL299" s="652"/>
      <c r="AM299" s="652"/>
    </row>
    <row r="300" spans="1:39" x14ac:dyDescent="0.2">
      <c r="A300" s="699">
        <v>1</v>
      </c>
      <c r="B300" s="700">
        <f>IFERROR(INDEX(B$1:B$100,MATCH(A300,A$1:A$100,0)),"")</f>
        <v>0</v>
      </c>
      <c r="C300" s="701">
        <f>IF(21-A300&gt;0,IF(OR(A300=A301,A299=A300),21-A300-0.5,21-A300),1)</f>
        <v>20</v>
      </c>
      <c r="D300" s="702"/>
      <c r="E300" s="702"/>
      <c r="F300" s="652"/>
      <c r="G300" s="652"/>
      <c r="H300" s="652"/>
      <c r="I300" s="652"/>
      <c r="J300" s="652"/>
      <c r="K300" s="652"/>
      <c r="L300" s="652"/>
      <c r="M300" s="652"/>
      <c r="N300" s="652"/>
      <c r="O300" s="652"/>
      <c r="P300" s="652"/>
      <c r="Q300" s="652"/>
      <c r="R300" s="652"/>
      <c r="S300" s="652"/>
      <c r="T300" s="652"/>
      <c r="U300" s="652"/>
      <c r="V300" s="652"/>
      <c r="W300" s="652"/>
      <c r="X300" s="652"/>
      <c r="Y300" s="652"/>
      <c r="Z300" s="652"/>
      <c r="AA300" s="652"/>
      <c r="AB300" s="652"/>
      <c r="AC300" s="652"/>
      <c r="AD300" s="652"/>
      <c r="AE300" s="652"/>
      <c r="AF300" s="652"/>
      <c r="AG300" s="652"/>
      <c r="AH300" s="652"/>
      <c r="AI300" s="652"/>
      <c r="AJ300" s="652"/>
      <c r="AK300" s="652"/>
      <c r="AL300" s="652"/>
      <c r="AM300" s="652"/>
    </row>
    <row r="301" spans="1:39" x14ac:dyDescent="0.2">
      <c r="A301" s="699">
        <v>2</v>
      </c>
      <c r="B301" s="700">
        <f t="shared" ref="B301:B323" si="14">IFERROR(INDEX(B$1:B$100,MATCH(A301,A$1:A$100,0)),"")</f>
        <v>0</v>
      </c>
      <c r="C301" s="701">
        <f t="shared" ref="C301:C319" si="15">IF(21-A301&gt;0,IF(OR(A301=A302,A300=A301),21-A301-0.5,21-A301),1)</f>
        <v>19</v>
      </c>
      <c r="D301" s="653"/>
      <c r="E301" s="653"/>
      <c r="F301" s="652"/>
      <c r="G301" s="652"/>
      <c r="H301" s="652"/>
      <c r="I301" s="652"/>
      <c r="J301" s="652"/>
      <c r="K301" s="652"/>
      <c r="L301" s="652"/>
      <c r="M301" s="652"/>
      <c r="N301" s="652"/>
      <c r="O301" s="652"/>
      <c r="P301" s="652"/>
      <c r="Q301" s="652"/>
      <c r="R301" s="652"/>
      <c r="S301" s="652"/>
      <c r="T301" s="652"/>
      <c r="U301" s="652"/>
      <c r="V301" s="652"/>
      <c r="W301" s="703"/>
      <c r="X301" s="652"/>
      <c r="Y301" s="652"/>
      <c r="Z301" s="652"/>
      <c r="AA301" s="652"/>
      <c r="AB301" s="652"/>
      <c r="AC301" s="652"/>
      <c r="AD301" s="652"/>
      <c r="AE301" s="652"/>
      <c r="AF301" s="652"/>
      <c r="AG301" s="652"/>
      <c r="AH301" s="652"/>
      <c r="AI301" s="652"/>
      <c r="AJ301" s="652"/>
      <c r="AK301" s="652"/>
      <c r="AL301" s="652"/>
      <c r="AM301" s="652"/>
    </row>
    <row r="302" spans="1:39" x14ac:dyDescent="0.2">
      <c r="A302" s="699">
        <v>3</v>
      </c>
      <c r="B302" s="700">
        <f t="shared" si="14"/>
        <v>0</v>
      </c>
      <c r="C302" s="701">
        <f t="shared" si="15"/>
        <v>18</v>
      </c>
      <c r="D302" s="653"/>
      <c r="E302" s="653"/>
      <c r="F302" s="652"/>
      <c r="G302" s="652"/>
      <c r="H302" s="652"/>
      <c r="I302" s="652"/>
      <c r="J302" s="652"/>
      <c r="K302" s="652"/>
      <c r="L302" s="652"/>
      <c r="M302" s="652"/>
      <c r="N302" s="652"/>
      <c r="O302" s="652"/>
      <c r="P302" s="652"/>
      <c r="Q302" s="652"/>
      <c r="R302" s="652"/>
      <c r="S302" s="652"/>
      <c r="T302" s="652"/>
      <c r="U302" s="652"/>
      <c r="V302" s="652"/>
      <c r="W302" s="652"/>
      <c r="X302" s="652"/>
      <c r="Y302" s="652"/>
      <c r="Z302" s="652"/>
      <c r="AA302" s="652"/>
      <c r="AB302" s="652"/>
      <c r="AC302" s="652"/>
      <c r="AD302" s="652"/>
      <c r="AE302" s="652"/>
      <c r="AF302" s="652"/>
      <c r="AG302" s="652"/>
      <c r="AH302" s="652"/>
      <c r="AI302" s="652"/>
      <c r="AJ302" s="652"/>
      <c r="AK302" s="652"/>
      <c r="AL302" s="652"/>
      <c r="AM302" s="652"/>
    </row>
    <row r="303" spans="1:39" x14ac:dyDescent="0.2">
      <c r="A303" s="699">
        <v>4</v>
      </c>
      <c r="B303" s="700">
        <f t="shared" si="14"/>
        <v>0</v>
      </c>
      <c r="C303" s="701">
        <f t="shared" si="15"/>
        <v>17</v>
      </c>
      <c r="D303" s="653"/>
      <c r="E303" s="653"/>
      <c r="F303" s="652"/>
      <c r="G303" s="652"/>
      <c r="H303" s="652"/>
      <c r="I303" s="652"/>
      <c r="J303" s="652"/>
      <c r="K303" s="652"/>
      <c r="L303" s="652"/>
      <c r="M303" s="652"/>
      <c r="N303" s="652"/>
      <c r="O303" s="652"/>
      <c r="P303" s="652"/>
      <c r="Q303" s="652"/>
      <c r="R303" s="652"/>
      <c r="S303" s="652"/>
      <c r="T303" s="652"/>
      <c r="U303" s="652"/>
      <c r="V303" s="652"/>
      <c r="W303" s="652"/>
      <c r="X303" s="652"/>
      <c r="Y303" s="652"/>
      <c r="Z303" s="652"/>
      <c r="AA303" s="652"/>
      <c r="AB303" s="652"/>
      <c r="AC303" s="652"/>
      <c r="AD303" s="652"/>
      <c r="AE303" s="652"/>
      <c r="AF303" s="652"/>
      <c r="AG303" s="652"/>
      <c r="AH303" s="652"/>
      <c r="AI303" s="652"/>
      <c r="AJ303" s="652"/>
      <c r="AK303" s="652"/>
      <c r="AL303" s="652"/>
      <c r="AM303" s="652"/>
    </row>
    <row r="304" spans="1:39" x14ac:dyDescent="0.2">
      <c r="A304" s="699">
        <v>5</v>
      </c>
      <c r="B304" s="700">
        <f t="shared" si="14"/>
        <v>0</v>
      </c>
      <c r="C304" s="701">
        <f t="shared" si="15"/>
        <v>16</v>
      </c>
      <c r="D304" s="653"/>
      <c r="E304" s="653"/>
      <c r="F304" s="652"/>
      <c r="G304" s="652"/>
      <c r="H304" s="652"/>
      <c r="I304" s="652"/>
      <c r="J304" s="652"/>
      <c r="K304" s="652"/>
      <c r="L304" s="652"/>
      <c r="M304" s="652"/>
      <c r="N304" s="652"/>
      <c r="O304" s="652"/>
      <c r="P304" s="652"/>
      <c r="Q304" s="652"/>
      <c r="R304" s="652"/>
      <c r="S304" s="652"/>
      <c r="T304" s="652"/>
      <c r="U304" s="652"/>
      <c r="V304" s="652"/>
      <c r="W304" s="652"/>
      <c r="X304" s="652"/>
      <c r="Y304" s="652"/>
      <c r="Z304" s="652"/>
      <c r="AA304" s="652"/>
      <c r="AB304" s="652"/>
      <c r="AC304" s="652"/>
      <c r="AD304" s="652"/>
      <c r="AE304" s="652"/>
      <c r="AF304" s="652"/>
      <c r="AG304" s="652"/>
      <c r="AH304" s="652"/>
      <c r="AI304" s="652"/>
      <c r="AJ304" s="652"/>
      <c r="AK304" s="652"/>
      <c r="AL304" s="652"/>
      <c r="AM304" s="652"/>
    </row>
    <row r="305" spans="1:39" x14ac:dyDescent="0.2">
      <c r="A305" s="699">
        <v>6</v>
      </c>
      <c r="B305" s="700">
        <f t="shared" si="14"/>
        <v>0</v>
      </c>
      <c r="C305" s="701">
        <f t="shared" si="15"/>
        <v>15</v>
      </c>
      <c r="D305" s="653"/>
      <c r="E305" s="653"/>
      <c r="F305" s="652"/>
      <c r="G305" s="652"/>
      <c r="H305" s="652"/>
      <c r="I305" s="652"/>
      <c r="J305" s="652"/>
      <c r="K305" s="652"/>
      <c r="L305" s="652"/>
      <c r="M305" s="652"/>
      <c r="N305" s="652"/>
      <c r="O305" s="652"/>
      <c r="P305" s="652"/>
      <c r="Q305" s="652"/>
      <c r="R305" s="652"/>
      <c r="S305" s="652"/>
      <c r="T305" s="652"/>
      <c r="U305" s="652"/>
      <c r="V305" s="652"/>
      <c r="W305" s="652"/>
      <c r="X305" s="652"/>
      <c r="Y305" s="652"/>
      <c r="Z305" s="652"/>
      <c r="AA305" s="652"/>
      <c r="AB305" s="652"/>
      <c r="AC305" s="652"/>
      <c r="AD305" s="652"/>
      <c r="AE305" s="652"/>
      <c r="AF305" s="652"/>
      <c r="AG305" s="652"/>
      <c r="AH305" s="652"/>
      <c r="AI305" s="652"/>
      <c r="AJ305" s="652"/>
      <c r="AK305" s="652"/>
      <c r="AL305" s="652"/>
      <c r="AM305" s="652"/>
    </row>
    <row r="306" spans="1:39" x14ac:dyDescent="0.2">
      <c r="A306" s="699">
        <v>7</v>
      </c>
      <c r="B306" s="700">
        <f t="shared" si="14"/>
        <v>0</v>
      </c>
      <c r="C306" s="701">
        <f t="shared" si="15"/>
        <v>14</v>
      </c>
      <c r="D306" s="653"/>
      <c r="E306" s="653"/>
      <c r="F306" s="652"/>
      <c r="G306" s="652"/>
      <c r="H306" s="652"/>
      <c r="I306" s="652"/>
      <c r="J306" s="652"/>
      <c r="K306" s="652"/>
      <c r="L306" s="652"/>
      <c r="M306" s="652"/>
      <c r="N306" s="652"/>
      <c r="O306" s="652"/>
      <c r="P306" s="652"/>
      <c r="Q306" s="652"/>
      <c r="R306" s="652"/>
      <c r="S306" s="652"/>
      <c r="T306" s="652"/>
      <c r="U306" s="652"/>
      <c r="V306" s="652"/>
      <c r="W306" s="703"/>
      <c r="X306" s="652"/>
      <c r="Y306" s="652"/>
      <c r="Z306" s="652"/>
      <c r="AA306" s="652"/>
      <c r="AB306" s="652"/>
      <c r="AC306" s="652"/>
      <c r="AD306" s="652"/>
      <c r="AE306" s="652"/>
      <c r="AF306" s="652"/>
      <c r="AG306" s="652"/>
      <c r="AH306" s="652"/>
      <c r="AI306" s="652"/>
      <c r="AJ306" s="652"/>
      <c r="AK306" s="652"/>
      <c r="AL306" s="652"/>
      <c r="AM306" s="652"/>
    </row>
    <row r="307" spans="1:39" x14ac:dyDescent="0.2">
      <c r="A307" s="699">
        <v>8</v>
      </c>
      <c r="B307" s="700">
        <f t="shared" si="14"/>
        <v>0</v>
      </c>
      <c r="C307" s="701">
        <f t="shared" si="15"/>
        <v>13</v>
      </c>
      <c r="D307" s="653"/>
      <c r="E307" s="653"/>
      <c r="F307" s="652"/>
      <c r="G307" s="652"/>
      <c r="H307" s="652"/>
      <c r="I307" s="652"/>
      <c r="J307" s="652"/>
      <c r="K307" s="652"/>
      <c r="L307" s="652"/>
      <c r="M307" s="652"/>
      <c r="N307" s="652"/>
      <c r="O307" s="652"/>
      <c r="P307" s="652"/>
      <c r="Q307" s="652"/>
      <c r="R307" s="652"/>
      <c r="S307" s="652"/>
      <c r="T307" s="652"/>
      <c r="U307" s="652"/>
      <c r="V307" s="652"/>
      <c r="W307" s="652"/>
      <c r="X307" s="652"/>
      <c r="Y307" s="652"/>
      <c r="Z307" s="652"/>
      <c r="AA307" s="652"/>
      <c r="AB307" s="652"/>
      <c r="AC307" s="652"/>
      <c r="AD307" s="652"/>
      <c r="AE307" s="652"/>
      <c r="AF307" s="652"/>
      <c r="AG307" s="652"/>
      <c r="AH307" s="652"/>
      <c r="AI307" s="652"/>
      <c r="AJ307" s="652"/>
      <c r="AK307" s="652"/>
      <c r="AL307" s="652"/>
      <c r="AM307" s="652"/>
    </row>
    <row r="308" spans="1:39" x14ac:dyDescent="0.2">
      <c r="A308" s="699">
        <v>9</v>
      </c>
      <c r="B308" s="700">
        <f t="shared" si="14"/>
        <v>0</v>
      </c>
      <c r="C308" s="701">
        <f t="shared" si="15"/>
        <v>12</v>
      </c>
      <c r="D308" s="653"/>
      <c r="E308" s="653"/>
      <c r="F308" s="652"/>
      <c r="G308" s="652"/>
      <c r="H308" s="652"/>
      <c r="I308" s="652"/>
      <c r="J308" s="652"/>
      <c r="K308" s="652"/>
      <c r="L308" s="652"/>
      <c r="M308" s="652"/>
      <c r="N308" s="652"/>
      <c r="O308" s="652"/>
      <c r="P308" s="652"/>
      <c r="Q308" s="652"/>
      <c r="R308" s="652"/>
      <c r="S308" s="652"/>
      <c r="T308" s="652"/>
      <c r="U308" s="652"/>
      <c r="V308" s="652"/>
      <c r="W308" s="652"/>
      <c r="X308" s="652"/>
      <c r="Y308" s="652"/>
      <c r="Z308" s="652"/>
      <c r="AA308" s="652"/>
      <c r="AB308" s="652"/>
      <c r="AC308" s="652"/>
      <c r="AD308" s="652"/>
      <c r="AE308" s="652"/>
      <c r="AF308" s="652"/>
      <c r="AG308" s="652"/>
      <c r="AH308" s="652"/>
      <c r="AI308" s="652"/>
      <c r="AJ308" s="652"/>
      <c r="AK308" s="652"/>
      <c r="AL308" s="652"/>
      <c r="AM308" s="652"/>
    </row>
    <row r="309" spans="1:39" x14ac:dyDescent="0.2">
      <c r="A309" s="699">
        <v>10</v>
      </c>
      <c r="B309" s="700">
        <f t="shared" si="14"/>
        <v>0</v>
      </c>
      <c r="C309" s="701">
        <f t="shared" si="15"/>
        <v>11</v>
      </c>
      <c r="D309" s="653"/>
      <c r="E309" s="653"/>
      <c r="F309" s="652"/>
      <c r="G309" s="652"/>
      <c r="H309" s="652"/>
      <c r="I309" s="652"/>
      <c r="J309" s="652"/>
      <c r="K309" s="652"/>
      <c r="L309" s="652"/>
      <c r="M309" s="652"/>
      <c r="N309" s="652"/>
      <c r="O309" s="652"/>
      <c r="P309" s="652"/>
      <c r="Q309" s="652"/>
      <c r="R309" s="652"/>
      <c r="S309" s="652"/>
      <c r="T309" s="652"/>
      <c r="U309" s="652"/>
      <c r="V309" s="652"/>
      <c r="W309" s="652"/>
      <c r="X309" s="652"/>
      <c r="Y309" s="652"/>
      <c r="Z309" s="652"/>
      <c r="AA309" s="652"/>
      <c r="AB309" s="652"/>
      <c r="AC309" s="652"/>
      <c r="AD309" s="652"/>
      <c r="AE309" s="652"/>
      <c r="AF309" s="652"/>
      <c r="AG309" s="652"/>
      <c r="AH309" s="652"/>
      <c r="AI309" s="652"/>
      <c r="AJ309" s="652"/>
      <c r="AK309" s="652"/>
      <c r="AL309" s="652"/>
      <c r="AM309" s="652"/>
    </row>
    <row r="310" spans="1:39" x14ac:dyDescent="0.2">
      <c r="A310" s="699">
        <v>11</v>
      </c>
      <c r="B310" s="700">
        <f t="shared" si="14"/>
        <v>0</v>
      </c>
      <c r="C310" s="701">
        <f t="shared" si="15"/>
        <v>10</v>
      </c>
      <c r="D310" s="652"/>
      <c r="E310" s="652"/>
      <c r="F310" s="652"/>
      <c r="G310" s="652"/>
      <c r="H310" s="652"/>
      <c r="I310" s="652"/>
      <c r="J310" s="652"/>
      <c r="K310" s="652"/>
      <c r="L310" s="652"/>
      <c r="M310" s="652"/>
      <c r="N310" s="652"/>
      <c r="O310" s="652"/>
      <c r="P310" s="652"/>
      <c r="Q310" s="652"/>
      <c r="R310" s="652"/>
      <c r="S310" s="652"/>
      <c r="T310" s="652"/>
      <c r="U310" s="652"/>
      <c r="V310" s="652"/>
      <c r="W310" s="652"/>
      <c r="X310" s="652"/>
      <c r="Y310" s="652"/>
      <c r="Z310" s="652"/>
      <c r="AA310" s="652"/>
      <c r="AB310" s="652"/>
      <c r="AC310" s="652"/>
      <c r="AD310" s="652"/>
      <c r="AE310" s="652"/>
      <c r="AF310" s="652"/>
      <c r="AG310" s="652"/>
      <c r="AH310" s="652"/>
      <c r="AI310" s="652"/>
      <c r="AJ310" s="652"/>
      <c r="AK310" s="652"/>
      <c r="AL310" s="652"/>
      <c r="AM310" s="652"/>
    </row>
    <row r="311" spans="1:39" x14ac:dyDescent="0.2">
      <c r="A311" s="699">
        <v>12</v>
      </c>
      <c r="B311" s="700">
        <f t="shared" si="14"/>
        <v>0</v>
      </c>
      <c r="C311" s="701">
        <f t="shared" si="15"/>
        <v>9</v>
      </c>
      <c r="D311" s="652"/>
      <c r="E311" s="652"/>
      <c r="F311" s="652"/>
      <c r="G311" s="652"/>
      <c r="H311" s="652"/>
      <c r="I311" s="652"/>
      <c r="J311" s="652"/>
      <c r="K311" s="652"/>
      <c r="L311" s="652"/>
      <c r="M311" s="652"/>
      <c r="N311" s="652"/>
      <c r="O311" s="652"/>
      <c r="P311" s="652"/>
      <c r="Q311" s="652"/>
      <c r="R311" s="652"/>
      <c r="S311" s="652"/>
      <c r="T311" s="652"/>
      <c r="U311" s="652"/>
      <c r="V311" s="652"/>
      <c r="W311" s="652"/>
      <c r="X311" s="652"/>
      <c r="Y311" s="652"/>
      <c r="Z311" s="652"/>
      <c r="AA311" s="652"/>
      <c r="AB311" s="652"/>
      <c r="AC311" s="652"/>
      <c r="AD311" s="652"/>
      <c r="AE311" s="652"/>
      <c r="AF311" s="652"/>
      <c r="AG311" s="652"/>
      <c r="AH311" s="652"/>
      <c r="AI311" s="652"/>
      <c r="AJ311" s="652"/>
      <c r="AK311" s="652"/>
      <c r="AL311" s="652"/>
      <c r="AM311" s="652"/>
    </row>
    <row r="312" spans="1:39" x14ac:dyDescent="0.2">
      <c r="A312" s="699">
        <v>13</v>
      </c>
      <c r="B312" s="700">
        <f t="shared" si="14"/>
        <v>0</v>
      </c>
      <c r="C312" s="701">
        <f t="shared" si="15"/>
        <v>8</v>
      </c>
      <c r="D312" s="652"/>
      <c r="E312" s="652"/>
      <c r="F312" s="652"/>
      <c r="G312" s="652"/>
      <c r="H312" s="652"/>
      <c r="I312" s="652"/>
      <c r="J312" s="652"/>
      <c r="K312" s="652"/>
      <c r="L312" s="652"/>
      <c r="M312" s="652"/>
      <c r="N312" s="652"/>
      <c r="O312" s="652"/>
      <c r="P312" s="652"/>
      <c r="Q312" s="652"/>
      <c r="R312" s="652"/>
      <c r="S312" s="652"/>
      <c r="T312" s="652"/>
      <c r="U312" s="652"/>
      <c r="V312" s="652"/>
      <c r="W312" s="652"/>
      <c r="X312" s="652"/>
      <c r="Y312" s="652"/>
      <c r="Z312" s="652"/>
      <c r="AA312" s="652"/>
      <c r="AB312" s="652"/>
      <c r="AC312" s="652"/>
      <c r="AD312" s="652"/>
      <c r="AE312" s="652"/>
      <c r="AF312" s="652"/>
      <c r="AG312" s="652"/>
      <c r="AH312" s="652"/>
      <c r="AI312" s="652"/>
      <c r="AJ312" s="652"/>
      <c r="AK312" s="652"/>
      <c r="AL312" s="652"/>
      <c r="AM312" s="652"/>
    </row>
    <row r="313" spans="1:39" x14ac:dyDescent="0.2">
      <c r="A313" s="699">
        <v>14</v>
      </c>
      <c r="B313" s="700">
        <f t="shared" si="14"/>
        <v>0</v>
      </c>
      <c r="C313" s="701">
        <f t="shared" si="15"/>
        <v>7</v>
      </c>
    </row>
    <row r="314" spans="1:39" x14ac:dyDescent="0.2">
      <c r="A314" s="699">
        <v>15</v>
      </c>
      <c r="B314" s="700">
        <f t="shared" si="14"/>
        <v>0</v>
      </c>
      <c r="C314" s="701">
        <f t="shared" si="15"/>
        <v>6</v>
      </c>
    </row>
    <row r="315" spans="1:39" x14ac:dyDescent="0.2">
      <c r="A315" s="699">
        <v>16</v>
      </c>
      <c r="B315" s="700">
        <f t="shared" si="14"/>
        <v>0</v>
      </c>
      <c r="C315" s="701">
        <f t="shared" si="15"/>
        <v>5</v>
      </c>
    </row>
    <row r="316" spans="1:39" x14ac:dyDescent="0.2">
      <c r="A316" s="699">
        <v>17</v>
      </c>
      <c r="B316" s="700">
        <f t="shared" si="14"/>
        <v>0</v>
      </c>
      <c r="C316" s="701">
        <f t="shared" si="15"/>
        <v>4</v>
      </c>
    </row>
    <row r="317" spans="1:39" x14ac:dyDescent="0.2">
      <c r="A317" s="699">
        <v>18</v>
      </c>
      <c r="B317" s="700">
        <f t="shared" si="14"/>
        <v>0</v>
      </c>
      <c r="C317" s="701">
        <f t="shared" si="15"/>
        <v>3</v>
      </c>
    </row>
    <row r="318" spans="1:39" x14ac:dyDescent="0.2">
      <c r="A318" s="699">
        <v>19</v>
      </c>
      <c r="B318" s="700">
        <f t="shared" si="14"/>
        <v>0</v>
      </c>
      <c r="C318" s="701">
        <f t="shared" si="15"/>
        <v>2</v>
      </c>
    </row>
    <row r="319" spans="1:39" x14ac:dyDescent="0.2">
      <c r="A319" s="699">
        <v>20</v>
      </c>
      <c r="B319" s="700">
        <f t="shared" si="14"/>
        <v>0</v>
      </c>
      <c r="C319" s="701">
        <f t="shared" si="15"/>
        <v>1</v>
      </c>
    </row>
    <row r="320" spans="1:39" x14ac:dyDescent="0.2">
      <c r="A320" s="699">
        <v>21</v>
      </c>
      <c r="B320" s="700">
        <f t="shared" si="14"/>
        <v>0</v>
      </c>
      <c r="C320" s="701">
        <f>IF(21-A320&gt;0,IF(OR(A320=A321,A319=A320),21-A320-0.5,21-A320),1)</f>
        <v>1</v>
      </c>
    </row>
    <row r="321" spans="1:3" x14ac:dyDescent="0.2">
      <c r="A321" s="699">
        <v>22</v>
      </c>
      <c r="B321" s="700">
        <f t="shared" si="14"/>
        <v>0</v>
      </c>
      <c r="C321" s="701">
        <f>IF(21-A321&gt;0,IF(OR(A321=A322,A320=A321),21-A321-0.5,21-A321),1)</f>
        <v>1</v>
      </c>
    </row>
    <row r="322" spans="1:3" x14ac:dyDescent="0.2">
      <c r="A322" s="699">
        <v>23</v>
      </c>
      <c r="B322" s="700">
        <f t="shared" si="14"/>
        <v>0</v>
      </c>
      <c r="C322" s="701">
        <f>IF(21-A322&gt;0,IF(OR(A322=A323,A321=A322),21-A322-0.5,21-A322),1)</f>
        <v>1</v>
      </c>
    </row>
    <row r="323" spans="1:3" x14ac:dyDescent="0.2">
      <c r="A323" s="699">
        <v>24</v>
      </c>
      <c r="B323" s="700">
        <f t="shared" si="14"/>
        <v>0</v>
      </c>
      <c r="C323" s="701">
        <f>IF(21-A323&gt;0,IF(OR(A323=A324,A322=A323),21-A323-0.5,21-A323),1)</f>
        <v>1</v>
      </c>
    </row>
  </sheetData>
  <conditionalFormatting sqref="A300:A323">
    <cfRule type="duplicateValues" dxfId="105" priority="45"/>
  </conditionalFormatting>
  <conditionalFormatting sqref="B300:B323">
    <cfRule type="expression" dxfId="104" priority="40">
      <formula>A300=3</formula>
    </cfRule>
    <cfRule type="expression" dxfId="103" priority="41">
      <formula>A300=2</formula>
    </cfRule>
    <cfRule type="expression" dxfId="102" priority="42">
      <formula>A300=1</formula>
    </cfRule>
    <cfRule type="containsBlanks" dxfId="101" priority="43">
      <formula>LEN(TRIM(B300))=0</formula>
    </cfRule>
    <cfRule type="duplicateValues" dxfId="100" priority="44"/>
  </conditionalFormatting>
  <conditionalFormatting sqref="A8:A31">
    <cfRule type="duplicateValues" dxfId="99" priority="39"/>
  </conditionalFormatting>
  <conditionalFormatting sqref="C8:C31">
    <cfRule type="expression" dxfId="98" priority="21">
      <formula>IF($C8&gt;$E8,TRUE)</formula>
    </cfRule>
  </conditionalFormatting>
  <conditionalFormatting sqref="E8:E31">
    <cfRule type="expression" dxfId="97" priority="22">
      <formula>IF($C8&lt;$E8,TRUE)</formula>
    </cfRule>
  </conditionalFormatting>
  <conditionalFormatting sqref="K8:K31">
    <cfRule type="expression" dxfId="96" priority="29">
      <formula>IF($K8&gt;$M8,TRUE)</formula>
    </cfRule>
  </conditionalFormatting>
  <conditionalFormatting sqref="M8:M31">
    <cfRule type="expression" dxfId="95" priority="30">
      <formula>IF($K8&lt;$M8,TRUE)</formula>
    </cfRule>
  </conditionalFormatting>
  <conditionalFormatting sqref="O8:O31">
    <cfRule type="expression" dxfId="94" priority="33">
      <formula>IF($O8&gt;$Q8,TRUE)</formula>
    </cfRule>
  </conditionalFormatting>
  <conditionalFormatting sqref="Q8:Q31">
    <cfRule type="expression" dxfId="93" priority="34">
      <formula>IF($O8&lt;$Q8,TRUE)</formula>
    </cfRule>
  </conditionalFormatting>
  <conditionalFormatting sqref="S8:S31">
    <cfRule type="expression" dxfId="92" priority="37">
      <formula>IF($S8&gt;$U8,TRUE)</formula>
    </cfRule>
  </conditionalFormatting>
  <conditionalFormatting sqref="U8:U31">
    <cfRule type="expression" dxfId="91" priority="38">
      <formula>IF($S8&lt;$U8,TRUE)</formula>
    </cfRule>
  </conditionalFormatting>
  <conditionalFormatting sqref="G8:G31">
    <cfRule type="expression" dxfId="90" priority="25">
      <formula>IF($G8&gt;$I8,TRUE)</formula>
    </cfRule>
  </conditionalFormatting>
  <conditionalFormatting sqref="I8:I31">
    <cfRule type="expression" dxfId="89" priority="26">
      <formula>IF($G8&lt;$I8,TRUE)</formula>
    </cfRule>
  </conditionalFormatting>
  <conditionalFormatting sqref="F8:F31">
    <cfRule type="containsText" dxfId="88" priority="12" operator="containsText" text="vaba voor">
      <formula>NOT(ISERROR(SEARCH("vaba voor",F8)))</formula>
    </cfRule>
  </conditionalFormatting>
  <conditionalFormatting sqref="N8:N31">
    <cfRule type="containsText" dxfId="87" priority="10" operator="containsText" text="vaba voor">
      <formula>NOT(ISERROR(SEARCH("vaba voor",N8)))</formula>
    </cfRule>
  </conditionalFormatting>
  <conditionalFormatting sqref="R8:R31">
    <cfRule type="containsText" dxfId="86" priority="13" operator="containsText" text="vaba voor">
      <formula>NOT(ISERROR(SEARCH("vaba voor",R8)))</formula>
    </cfRule>
  </conditionalFormatting>
  <conditionalFormatting sqref="V8:V31">
    <cfRule type="containsText" dxfId="85" priority="9" operator="containsText" text="vaba voor">
      <formula>NOT(ISERROR(SEARCH("vaba voor",V8)))</formula>
    </cfRule>
  </conditionalFormatting>
  <conditionalFormatting sqref="J8:J31">
    <cfRule type="containsText" dxfId="84" priority="11" operator="containsText" text="vaba voor">
      <formula>NOT(ISERROR(SEARCH("vaba voor",J8)))</formula>
    </cfRule>
  </conditionalFormatting>
  <conditionalFormatting sqref="C8:F31">
    <cfRule type="expression" dxfId="83" priority="17">
      <formula>IF(AND(ISNUMBER($C8),$C8=$E8),TRUE)</formula>
    </cfRule>
    <cfRule type="expression" dxfId="82" priority="19">
      <formula>IF($C8&gt;$E8,TRUE)</formula>
    </cfRule>
    <cfRule type="expression" dxfId="81" priority="20">
      <formula>IF($C8&lt;$E8,TRUE)</formula>
    </cfRule>
  </conditionalFormatting>
  <conditionalFormatting sqref="G8:J31">
    <cfRule type="expression" dxfId="80" priority="18">
      <formula>IF(AND(ISNUMBER($G8),$G8=$I8),TRUE)</formula>
    </cfRule>
    <cfRule type="expression" dxfId="79" priority="23">
      <formula>IF($G8&gt;$I8,TRUE)</formula>
    </cfRule>
    <cfRule type="expression" dxfId="78" priority="24">
      <formula>IF($G8&lt;$I8,TRUE)</formula>
    </cfRule>
  </conditionalFormatting>
  <conditionalFormatting sqref="K8:N31">
    <cfRule type="expression" dxfId="77" priority="16">
      <formula>IF(AND(ISNUMBER($K8),$K8=$M8),TRUE)</formula>
    </cfRule>
    <cfRule type="expression" dxfId="76" priority="27">
      <formula>IF($K8&gt;$M8,TRUE)</formula>
    </cfRule>
    <cfRule type="expression" dxfId="75" priority="28">
      <formula>IF($K8&lt;$M8,TRUE)</formula>
    </cfRule>
  </conditionalFormatting>
  <conditionalFormatting sqref="O8:R31">
    <cfRule type="expression" dxfId="74" priority="15">
      <formula>IF(AND(ISNUMBER($O8),$O8=$Q8),TRUE)</formula>
    </cfRule>
    <cfRule type="expression" dxfId="73" priority="31">
      <formula>IF($O8&gt;$Q8,TRUE)</formula>
    </cfRule>
    <cfRule type="expression" dxfId="72" priority="32">
      <formula>IF($O8&lt;$Q8,TRUE)</formula>
    </cfRule>
  </conditionalFormatting>
  <conditionalFormatting sqref="S8:V31">
    <cfRule type="expression" dxfId="71" priority="14">
      <formula>IF(AND(ISNUMBER($S8),$S8=$U8),TRUE)</formula>
    </cfRule>
    <cfRule type="expression" dxfId="70" priority="35">
      <formula>IF($S8&gt;$U8,TRUE)</formula>
    </cfRule>
    <cfRule type="expression" dxfId="69" priority="36">
      <formula>IF($S8&lt;$U8,TRUE)</formula>
    </cfRule>
  </conditionalFormatting>
  <conditionalFormatting sqref="C8:C31 G8:G31 K8:K31 O8:O31 S8:S31">
    <cfRule type="expression" dxfId="68" priority="7">
      <formula>AND(C8=0,E8=13)</formula>
    </cfRule>
  </conditionalFormatting>
  <conditionalFormatting sqref="E8:E31 I8:I31 M8:M31 Q8:Q31 U8:U31">
    <cfRule type="expression" dxfId="67" priority="8">
      <formula>AND(E8=0,C8=13)</formula>
    </cfRule>
  </conditionalFormatting>
  <conditionalFormatting sqref="AF8:AF31 AJ8:AJ31 AL8:AL31">
    <cfRule type="expression" dxfId="66" priority="1">
      <formula>AND(AE8="",COUNTIF(AF8,"*,*")=0)</formula>
    </cfRule>
  </conditionalFormatting>
  <conditionalFormatting sqref="AH8:AH31">
    <cfRule type="expression" dxfId="65" priority="2">
      <formula>AND(AG8="",FIND(",",AH8))</formula>
    </cfRule>
    <cfRule type="expression" dxfId="64" priority="3">
      <formula>AND(AG8="",COUNTIF(AH8,"*,*")=0)</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323"/>
  <sheetViews>
    <sheetView showGridLines="0" zoomScaleNormal="100" workbookViewId="0">
      <pane ySplit="2" topLeftCell="A3" activePane="bottomLeft" state="frozen"/>
      <selection pane="bottomLeft"/>
    </sheetView>
  </sheetViews>
  <sheetFormatPr defaultRowHeight="12.75" x14ac:dyDescent="0.2"/>
  <cols>
    <col min="1" max="1" width="3.28515625" customWidth="1"/>
    <col min="2" max="2" width="33.28515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customWidth="1"/>
    <col min="32" max="32" width="12.7109375" customWidth="1"/>
    <col min="33" max="33" width="9.140625" customWidth="1"/>
    <col min="34" max="34" width="13.85546875" customWidth="1"/>
    <col min="35" max="35" width="9.140625" customWidth="1"/>
    <col min="36" max="36" width="17.28515625" customWidth="1"/>
    <col min="37" max="37" width="9.140625" customWidth="1"/>
    <col min="38" max="38" width="13.85546875" customWidth="1"/>
  </cols>
  <sheetData>
    <row r="1" spans="1:39" x14ac:dyDescent="0.2">
      <c r="A1" s="742" t="str">
        <f>UPPER((Kalend!E5)&amp;" - "&amp;(Kalend!C5)&amp;" - "&amp;(Kalend!D5))</f>
        <v>A - VÄLISHOOAJA AVAVÕISTLUS - LOOSIDUO</v>
      </c>
      <c r="B1" s="652"/>
      <c r="C1" s="653"/>
      <c r="D1" s="652"/>
      <c r="E1" s="652"/>
      <c r="F1" s="410" t="str">
        <f>HYPERLINK("#Kalend!I1","Kalender")</f>
        <v>Kalender</v>
      </c>
      <c r="G1" s="410"/>
      <c r="H1" s="410"/>
      <c r="I1" s="410"/>
      <c r="J1" s="654" t="str">
        <f>HYPERLINK("#Reit!r1","Reiting")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tr">
        <f>"Toimumisaeg: "&amp;(Kalend!A5)&amp;" kell "&amp;(Kalend!B5)</f>
        <v>Toimumisaeg: K, 01.05.2019 kell 11:30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2"/>
      <c r="AE2" s="652"/>
      <c r="AF2" s="652"/>
      <c r="AG2" s="652"/>
      <c r="AH2" s="652"/>
      <c r="AI2" s="652"/>
      <c r="AJ2" s="652"/>
      <c r="AK2" s="652"/>
      <c r="AL2" s="652"/>
      <c r="AM2" s="652"/>
    </row>
    <row r="3" spans="1:39" x14ac:dyDescent="0.2">
      <c r="A3" s="659" t="str">
        <f>"Toimumiskoht: "&amp;(Kalend!F5)</f>
        <v>Toimumiskoht: Voka staadion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tr">
        <f>"Korraldaja: "&amp;(Kalend!G5)</f>
        <v>Korraldaja: Johannes Neiland</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x14ac:dyDescent="0.2">
      <c r="A8" s="685">
        <v>1</v>
      </c>
      <c r="B8" s="686"/>
      <c r="C8" s="687"/>
      <c r="D8" s="688" t="s">
        <v>377</v>
      </c>
      <c r="E8" s="689"/>
      <c r="F8" s="690"/>
      <c r="G8" s="687"/>
      <c r="H8" s="688" t="s">
        <v>377</v>
      </c>
      <c r="I8" s="689"/>
      <c r="J8" s="690"/>
      <c r="K8" s="687"/>
      <c r="L8" s="688" t="s">
        <v>377</v>
      </c>
      <c r="M8" s="689"/>
      <c r="N8" s="690"/>
      <c r="O8" s="687"/>
      <c r="P8" s="688" t="s">
        <v>377</v>
      </c>
      <c r="Q8" s="689"/>
      <c r="R8" s="690"/>
      <c r="S8" s="687"/>
      <c r="T8" s="688" t="s">
        <v>377</v>
      </c>
      <c r="U8" s="689"/>
      <c r="V8" s="690"/>
      <c r="W8" s="691">
        <f>IF(C8&gt;E8,J$3,IF(C8&lt;E8,J$5,IF(ISNUMBER(C8),J$4,0)))+IF(G8&gt;I8,J$3,IF(G8&lt;I8,J$5,IF(ISNUMBER(G8),J$4,0)))+IF(K8&gt;M8,J$3,IF(K8&lt;M8,J$5,IF(ISNUMBER(K8),J$4,0)))+IF(O8&gt;Q8,J$3,IF(O8&lt;Q8,J$5,IF(ISNUMBER(O8),J$4,0)))+IF(S8&gt;U8,J$3,IF(S8&lt;U8,J$5,IF(ISNUMBER(S8),J$4,0)))</f>
        <v>0</v>
      </c>
      <c r="X8" s="692"/>
      <c r="Y8" s="687">
        <f>C8+G8+K8+O8+S8</f>
        <v>0</v>
      </c>
      <c r="Z8" s="688" t="s">
        <v>377</v>
      </c>
      <c r="AA8" s="693">
        <f>E8+I8+M8+Q8+U8</f>
        <v>0</v>
      </c>
      <c r="AB8" s="694">
        <f>Y8-AA8</f>
        <v>0</v>
      </c>
      <c r="AC8" s="695"/>
      <c r="AD8" s="708">
        <f t="shared" ref="AD8" si="0">SUM(AE8:AL8)</f>
        <v>0</v>
      </c>
      <c r="AE8" s="709" t="str">
        <f>IFERROR(INDEX(Reit!I$8:I$64,MATCH(AF8,Reit!F$8:F$64,0)),"")</f>
        <v/>
      </c>
      <c r="AF8" s="710" t="str">
        <f t="shared" ref="AF8" si="1">IFERROR(LEFT(B8,(FIND(",",B8,1)-1)),"")</f>
        <v/>
      </c>
      <c r="AG8" s="709" t="str">
        <f>IFERROR(INDEX(Reit!I$8:I$64,MATCH(AH8,Reit!F$8:F$64,0)),"")</f>
        <v/>
      </c>
      <c r="AH8" s="710" t="str">
        <f t="shared" ref="AH8" si="2">IFERROR(MID(B8,FIND(", ",B8)+2,256),"")</f>
        <v/>
      </c>
      <c r="AI8" s="709" t="str">
        <f>IFERROR(INDEX(Reit!I$8:I$64,MATCH(AJ8,Reit!F$8:F$64,0)),"")</f>
        <v/>
      </c>
      <c r="AJ8" s="710" t="str">
        <f t="shared" ref="AJ8" si="3">IFERROR(MID(B8,FIND("^",SUBSTITUTE(B8,", ","^",1))+2,FIND("^",SUBSTITUTE(B8,", ","^",2))-FIND("^",SUBSTITUTE(B8,", ","^",1))-2),"")</f>
        <v/>
      </c>
      <c r="AK8" s="709" t="str">
        <f>IFERROR(INDEX(Reit!I$8:I$64,MATCH(AL8,Reit!F$8:F$64,0)),"")</f>
        <v/>
      </c>
      <c r="AL8" s="710" t="str">
        <f t="shared" ref="AL8" si="4">IFERROR(MID(B8,FIND(", ",B8,FIND(", ",B8,FIND(", ",B8))+1)+2,700),"")</f>
        <v/>
      </c>
      <c r="AM8" s="652"/>
    </row>
    <row r="9" spans="1:39" x14ac:dyDescent="0.2">
      <c r="A9" s="685">
        <v>2</v>
      </c>
      <c r="B9" s="686"/>
      <c r="C9" s="687"/>
      <c r="D9" s="688" t="s">
        <v>377</v>
      </c>
      <c r="E9" s="689"/>
      <c r="F9" s="690"/>
      <c r="G9" s="687"/>
      <c r="H9" s="688" t="s">
        <v>377</v>
      </c>
      <c r="I9" s="689"/>
      <c r="J9" s="690"/>
      <c r="K9" s="687"/>
      <c r="L9" s="688" t="s">
        <v>377</v>
      </c>
      <c r="M9" s="689"/>
      <c r="N9" s="690"/>
      <c r="O9" s="687"/>
      <c r="P9" s="688" t="s">
        <v>377</v>
      </c>
      <c r="Q9" s="689"/>
      <c r="R9" s="690"/>
      <c r="S9" s="687"/>
      <c r="T9" s="688" t="s">
        <v>377</v>
      </c>
      <c r="U9" s="689"/>
      <c r="V9" s="690"/>
      <c r="W9" s="691">
        <f t="shared" ref="W9:W27" si="5">IF(C9&gt;E9,J$3,IF(C9&lt;E9,J$5,IF(ISNUMBER(C9),J$4,0)))+IF(G9&gt;I9,J$3,IF(G9&lt;I9,J$5,IF(ISNUMBER(G9),J$4,0)))+IF(K9&gt;M9,J$3,IF(K9&lt;M9,J$5,IF(ISNUMBER(K9),J$4,0)))+IF(O9&gt;Q9,J$3,IF(O9&lt;Q9,J$5,IF(ISNUMBER(O9),J$4,0)))+IF(S9&gt;U9,J$3,IF(S9&lt;U9,J$5,IF(ISNUMBER(S9),J$4,0)))</f>
        <v>0</v>
      </c>
      <c r="X9" s="692"/>
      <c r="Y9" s="687">
        <f t="shared" ref="Y9:Y27" si="6">C9+G9+K9+O9+S9</f>
        <v>0</v>
      </c>
      <c r="Z9" s="688" t="s">
        <v>377</v>
      </c>
      <c r="AA9" s="693">
        <f t="shared" ref="AA9:AA27" si="7">E9+I9+M9+Q9+U9</f>
        <v>0</v>
      </c>
      <c r="AB9" s="694">
        <f t="shared" ref="AB9:AB27" si="8">Y9-AA9</f>
        <v>0</v>
      </c>
      <c r="AC9" s="695"/>
      <c r="AD9" s="708">
        <f t="shared" ref="AD9:AD31" si="9">SUM(AE9:AL9)</f>
        <v>0</v>
      </c>
      <c r="AE9" s="709" t="str">
        <f>IFERROR(INDEX(Reit!I$8:I$64,MATCH(AF9,Reit!F$8:F$64,0)),"")</f>
        <v/>
      </c>
      <c r="AF9" s="710" t="str">
        <f t="shared" ref="AF9:AF31" si="10">IFERROR(LEFT(B9,(FIND(",",B9,1)-1)),"")</f>
        <v/>
      </c>
      <c r="AG9" s="709" t="str">
        <f>IFERROR(INDEX(Reit!I$8:I$64,MATCH(AH9,Reit!F$8:F$64,0)),"")</f>
        <v/>
      </c>
      <c r="AH9" s="710" t="str">
        <f t="shared" ref="AH9:AH31" si="11">IFERROR(MID(B9,FIND(", ",B9)+2,256),"")</f>
        <v/>
      </c>
      <c r="AI9" s="709" t="str">
        <f>IFERROR(INDEX(Reit!I$8:I$64,MATCH(AJ9,Reit!F$8:F$64,0)),"")</f>
        <v/>
      </c>
      <c r="AJ9" s="710" t="str">
        <f t="shared" ref="AJ9:AJ31" si="12">IFERROR(MID(B9,FIND("^",SUBSTITUTE(B9,", ","^",1))+2,FIND("^",SUBSTITUTE(B9,", ","^",2))-FIND("^",SUBSTITUTE(B9,", ","^",1))-2),"")</f>
        <v/>
      </c>
      <c r="AK9" s="709" t="str">
        <f>IFERROR(INDEX(Reit!I$8:I$64,MATCH(AL9,Reit!F$8:F$64,0)),"")</f>
        <v/>
      </c>
      <c r="AL9" s="710" t="str">
        <f t="shared" ref="AL9:AL31" si="13">IFERROR(MID(B9,FIND(", ",B9,FIND(", ",B9,FIND(", ",B9))+1)+2,700),"")</f>
        <v/>
      </c>
      <c r="AM9" s="652"/>
    </row>
    <row r="10" spans="1:39" x14ac:dyDescent="0.2">
      <c r="A10" s="685">
        <v>3</v>
      </c>
      <c r="B10" s="686"/>
      <c r="C10" s="687"/>
      <c r="D10" s="688" t="s">
        <v>377</v>
      </c>
      <c r="E10" s="689"/>
      <c r="F10" s="690"/>
      <c r="G10" s="687"/>
      <c r="H10" s="688" t="s">
        <v>377</v>
      </c>
      <c r="I10" s="689"/>
      <c r="J10" s="690"/>
      <c r="K10" s="687"/>
      <c r="L10" s="688" t="s">
        <v>377</v>
      </c>
      <c r="M10" s="689"/>
      <c r="N10" s="690"/>
      <c r="O10" s="687"/>
      <c r="P10" s="688" t="s">
        <v>377</v>
      </c>
      <c r="Q10" s="689"/>
      <c r="R10" s="690"/>
      <c r="S10" s="687"/>
      <c r="T10" s="688" t="s">
        <v>377</v>
      </c>
      <c r="U10" s="689"/>
      <c r="V10" s="690"/>
      <c r="W10" s="691">
        <f t="shared" si="5"/>
        <v>0</v>
      </c>
      <c r="X10" s="692"/>
      <c r="Y10" s="687">
        <f t="shared" si="6"/>
        <v>0</v>
      </c>
      <c r="Z10" s="688" t="s">
        <v>377</v>
      </c>
      <c r="AA10" s="693">
        <f t="shared" si="7"/>
        <v>0</v>
      </c>
      <c r="AB10" s="694">
        <f t="shared" si="8"/>
        <v>0</v>
      </c>
      <c r="AC10" s="695"/>
      <c r="AD10" s="708">
        <f t="shared" si="9"/>
        <v>0</v>
      </c>
      <c r="AE10" s="709" t="str">
        <f>IFERROR(INDEX(Reit!I$8:I$64,MATCH(AF10,Reit!F$8:F$64,0)),"")</f>
        <v/>
      </c>
      <c r="AF10" s="710" t="str">
        <f t="shared" si="10"/>
        <v/>
      </c>
      <c r="AG10" s="709" t="str">
        <f>IFERROR(INDEX(Reit!I$8:I$64,MATCH(AH10,Reit!F$8:F$64,0)),"")</f>
        <v/>
      </c>
      <c r="AH10" s="710" t="str">
        <f t="shared" si="11"/>
        <v/>
      </c>
      <c r="AI10" s="709" t="str">
        <f>IFERROR(INDEX(Reit!I$8:I$64,MATCH(AJ10,Reit!F$8:F$64,0)),"")</f>
        <v/>
      </c>
      <c r="AJ10" s="710" t="str">
        <f t="shared" si="12"/>
        <v/>
      </c>
      <c r="AK10" s="709" t="str">
        <f>IFERROR(INDEX(Reit!I$8:I$64,MATCH(AL10,Reit!F$8:F$64,0)),"")</f>
        <v/>
      </c>
      <c r="AL10" s="710" t="str">
        <f t="shared" si="13"/>
        <v/>
      </c>
      <c r="AM10" s="652"/>
    </row>
    <row r="11" spans="1:39" x14ac:dyDescent="0.2">
      <c r="A11" s="685">
        <v>4</v>
      </c>
      <c r="B11" s="686"/>
      <c r="C11" s="687"/>
      <c r="D11" s="688" t="s">
        <v>377</v>
      </c>
      <c r="E11" s="689"/>
      <c r="F11" s="690"/>
      <c r="G11" s="687"/>
      <c r="H11" s="688" t="s">
        <v>377</v>
      </c>
      <c r="I11" s="689"/>
      <c r="J11" s="690"/>
      <c r="K11" s="687"/>
      <c r="L11" s="688" t="s">
        <v>377</v>
      </c>
      <c r="M11" s="689"/>
      <c r="N11" s="690"/>
      <c r="O11" s="687"/>
      <c r="P11" s="688" t="s">
        <v>377</v>
      </c>
      <c r="Q11" s="689"/>
      <c r="R11" s="690"/>
      <c r="S11" s="687"/>
      <c r="T11" s="688" t="s">
        <v>377</v>
      </c>
      <c r="U11" s="689"/>
      <c r="V11" s="690"/>
      <c r="W11" s="691">
        <f t="shared" si="5"/>
        <v>0</v>
      </c>
      <c r="X11" s="692"/>
      <c r="Y11" s="687">
        <f t="shared" si="6"/>
        <v>0</v>
      </c>
      <c r="Z11" s="688" t="s">
        <v>377</v>
      </c>
      <c r="AA11" s="693">
        <f t="shared" si="7"/>
        <v>0</v>
      </c>
      <c r="AB11" s="694">
        <f t="shared" si="8"/>
        <v>0</v>
      </c>
      <c r="AC11" s="695"/>
      <c r="AD11" s="708">
        <f t="shared" si="9"/>
        <v>0</v>
      </c>
      <c r="AE11" s="709" t="str">
        <f>IFERROR(INDEX(Reit!I$8:I$64,MATCH(AF11,Reit!F$8:F$64,0)),"")</f>
        <v/>
      </c>
      <c r="AF11" s="710" t="str">
        <f t="shared" si="10"/>
        <v/>
      </c>
      <c r="AG11" s="709" t="str">
        <f>IFERROR(INDEX(Reit!I$8:I$64,MATCH(AH11,Reit!F$8:F$64,0)),"")</f>
        <v/>
      </c>
      <c r="AH11" s="710" t="str">
        <f t="shared" si="11"/>
        <v/>
      </c>
      <c r="AI11" s="709" t="str">
        <f>IFERROR(INDEX(Reit!I$8:I$64,MATCH(AJ11,Reit!F$8:F$64,0)),"")</f>
        <v/>
      </c>
      <c r="AJ11" s="710" t="str">
        <f t="shared" si="12"/>
        <v/>
      </c>
      <c r="AK11" s="709" t="str">
        <f>IFERROR(INDEX(Reit!I$8:I$64,MATCH(AL11,Reit!F$8:F$64,0)),"")</f>
        <v/>
      </c>
      <c r="AL11" s="710" t="str">
        <f t="shared" si="13"/>
        <v/>
      </c>
      <c r="AM11" s="652"/>
    </row>
    <row r="12" spans="1:39" x14ac:dyDescent="0.2">
      <c r="A12" s="685">
        <v>5</v>
      </c>
      <c r="B12" s="686"/>
      <c r="C12" s="687"/>
      <c r="D12" s="688" t="s">
        <v>377</v>
      </c>
      <c r="E12" s="689"/>
      <c r="F12" s="690"/>
      <c r="G12" s="687"/>
      <c r="H12" s="688" t="s">
        <v>377</v>
      </c>
      <c r="I12" s="689"/>
      <c r="J12" s="690"/>
      <c r="K12" s="687"/>
      <c r="L12" s="688" t="s">
        <v>377</v>
      </c>
      <c r="M12" s="689"/>
      <c r="N12" s="690"/>
      <c r="O12" s="687"/>
      <c r="P12" s="688" t="s">
        <v>377</v>
      </c>
      <c r="Q12" s="689"/>
      <c r="R12" s="690"/>
      <c r="S12" s="687"/>
      <c r="T12" s="688" t="s">
        <v>377</v>
      </c>
      <c r="U12" s="689"/>
      <c r="V12" s="690"/>
      <c r="W12" s="691">
        <f t="shared" si="5"/>
        <v>0</v>
      </c>
      <c r="X12" s="692"/>
      <c r="Y12" s="687">
        <f t="shared" si="6"/>
        <v>0</v>
      </c>
      <c r="Z12" s="688" t="s">
        <v>377</v>
      </c>
      <c r="AA12" s="693">
        <f t="shared" si="7"/>
        <v>0</v>
      </c>
      <c r="AB12" s="694">
        <f t="shared" si="8"/>
        <v>0</v>
      </c>
      <c r="AC12" s="695"/>
      <c r="AD12" s="708">
        <f t="shared" si="9"/>
        <v>0</v>
      </c>
      <c r="AE12" s="709" t="str">
        <f>IFERROR(INDEX(Reit!I$8:I$64,MATCH(AF12,Reit!F$8:F$64,0)),"")</f>
        <v/>
      </c>
      <c r="AF12" s="710" t="str">
        <f t="shared" si="10"/>
        <v/>
      </c>
      <c r="AG12" s="709" t="str">
        <f>IFERROR(INDEX(Reit!I$8:I$64,MATCH(AH12,Reit!F$8:F$64,0)),"")</f>
        <v/>
      </c>
      <c r="AH12" s="710" t="str">
        <f t="shared" si="11"/>
        <v/>
      </c>
      <c r="AI12" s="709" t="str">
        <f>IFERROR(INDEX(Reit!I$8:I$64,MATCH(AJ12,Reit!F$8:F$64,0)),"")</f>
        <v/>
      </c>
      <c r="AJ12" s="710" t="str">
        <f t="shared" si="12"/>
        <v/>
      </c>
      <c r="AK12" s="709" t="str">
        <f>IFERROR(INDEX(Reit!I$8:I$64,MATCH(AL12,Reit!F$8:F$64,0)),"")</f>
        <v/>
      </c>
      <c r="AL12" s="710" t="str">
        <f t="shared" si="13"/>
        <v/>
      </c>
      <c r="AM12" s="652"/>
    </row>
    <row r="13" spans="1:39" x14ac:dyDescent="0.2">
      <c r="A13" s="685">
        <v>6</v>
      </c>
      <c r="B13" s="686"/>
      <c r="C13" s="687"/>
      <c r="D13" s="688" t="s">
        <v>377</v>
      </c>
      <c r="E13" s="689"/>
      <c r="F13" s="690"/>
      <c r="G13" s="687"/>
      <c r="H13" s="688" t="s">
        <v>377</v>
      </c>
      <c r="I13" s="689"/>
      <c r="J13" s="690"/>
      <c r="K13" s="687"/>
      <c r="L13" s="688" t="s">
        <v>377</v>
      </c>
      <c r="M13" s="689"/>
      <c r="N13" s="690"/>
      <c r="O13" s="687"/>
      <c r="P13" s="688" t="s">
        <v>377</v>
      </c>
      <c r="Q13" s="689"/>
      <c r="R13" s="690"/>
      <c r="S13" s="687"/>
      <c r="T13" s="688" t="s">
        <v>377</v>
      </c>
      <c r="U13" s="689"/>
      <c r="V13" s="690"/>
      <c r="W13" s="691">
        <f t="shared" si="5"/>
        <v>0</v>
      </c>
      <c r="X13" s="692"/>
      <c r="Y13" s="687">
        <f t="shared" si="6"/>
        <v>0</v>
      </c>
      <c r="Z13" s="688" t="s">
        <v>377</v>
      </c>
      <c r="AA13" s="693">
        <f t="shared" si="7"/>
        <v>0</v>
      </c>
      <c r="AB13" s="694">
        <f t="shared" si="8"/>
        <v>0</v>
      </c>
      <c r="AC13" s="695"/>
      <c r="AD13" s="708">
        <f t="shared" si="9"/>
        <v>0</v>
      </c>
      <c r="AE13" s="709" t="str">
        <f>IFERROR(INDEX(Reit!I$8:I$64,MATCH(AF13,Reit!F$8:F$64,0)),"")</f>
        <v/>
      </c>
      <c r="AF13" s="710" t="str">
        <f t="shared" si="10"/>
        <v/>
      </c>
      <c r="AG13" s="709" t="str">
        <f>IFERROR(INDEX(Reit!I$8:I$64,MATCH(AH13,Reit!F$8:F$64,0)),"")</f>
        <v/>
      </c>
      <c r="AH13" s="710" t="str">
        <f t="shared" si="11"/>
        <v/>
      </c>
      <c r="AI13" s="709" t="str">
        <f>IFERROR(INDEX(Reit!I$8:I$64,MATCH(AJ13,Reit!F$8:F$64,0)),"")</f>
        <v/>
      </c>
      <c r="AJ13" s="710" t="str">
        <f t="shared" si="12"/>
        <v/>
      </c>
      <c r="AK13" s="709" t="str">
        <f>IFERROR(INDEX(Reit!I$8:I$64,MATCH(AL13,Reit!F$8:F$64,0)),"")</f>
        <v/>
      </c>
      <c r="AL13" s="710" t="str">
        <f t="shared" si="13"/>
        <v/>
      </c>
      <c r="AM13" s="652"/>
    </row>
    <row r="14" spans="1:39" x14ac:dyDescent="0.2">
      <c r="A14" s="685">
        <v>7</v>
      </c>
      <c r="B14" s="696"/>
      <c r="C14" s="687"/>
      <c r="D14" s="688" t="s">
        <v>377</v>
      </c>
      <c r="E14" s="689"/>
      <c r="F14" s="690"/>
      <c r="G14" s="687"/>
      <c r="H14" s="688" t="s">
        <v>377</v>
      </c>
      <c r="I14" s="689"/>
      <c r="J14" s="690"/>
      <c r="K14" s="687"/>
      <c r="L14" s="688" t="s">
        <v>377</v>
      </c>
      <c r="M14" s="689"/>
      <c r="N14" s="690"/>
      <c r="O14" s="687"/>
      <c r="P14" s="688" t="s">
        <v>377</v>
      </c>
      <c r="Q14" s="689"/>
      <c r="R14" s="690"/>
      <c r="S14" s="687"/>
      <c r="T14" s="688" t="s">
        <v>377</v>
      </c>
      <c r="U14" s="689"/>
      <c r="V14" s="690"/>
      <c r="W14" s="691">
        <f t="shared" si="5"/>
        <v>0</v>
      </c>
      <c r="X14" s="692"/>
      <c r="Y14" s="687">
        <f t="shared" si="6"/>
        <v>0</v>
      </c>
      <c r="Z14" s="688" t="s">
        <v>377</v>
      </c>
      <c r="AA14" s="693">
        <f t="shared" si="7"/>
        <v>0</v>
      </c>
      <c r="AB14" s="694">
        <f t="shared" si="8"/>
        <v>0</v>
      </c>
      <c r="AC14" s="695"/>
      <c r="AD14" s="708">
        <f t="shared" si="9"/>
        <v>0</v>
      </c>
      <c r="AE14" s="709" t="str">
        <f>IFERROR(INDEX(Reit!I$8:I$64,MATCH(AF14,Reit!F$8:F$64,0)),"")</f>
        <v/>
      </c>
      <c r="AF14" s="710" t="str">
        <f t="shared" si="10"/>
        <v/>
      </c>
      <c r="AG14" s="709" t="str">
        <f>IFERROR(INDEX(Reit!I$8:I$64,MATCH(AH14,Reit!F$8:F$64,0)),"")</f>
        <v/>
      </c>
      <c r="AH14" s="710" t="str">
        <f t="shared" si="11"/>
        <v/>
      </c>
      <c r="AI14" s="709" t="str">
        <f>IFERROR(INDEX(Reit!I$8:I$64,MATCH(AJ14,Reit!F$8:F$64,0)),"")</f>
        <v/>
      </c>
      <c r="AJ14" s="710" t="str">
        <f t="shared" si="12"/>
        <v/>
      </c>
      <c r="AK14" s="709" t="str">
        <f>IFERROR(INDEX(Reit!I$8:I$64,MATCH(AL14,Reit!F$8:F$64,0)),"")</f>
        <v/>
      </c>
      <c r="AL14" s="710" t="str">
        <f t="shared" si="13"/>
        <v/>
      </c>
      <c r="AM14" s="652"/>
    </row>
    <row r="15" spans="1:39" x14ac:dyDescent="0.2">
      <c r="A15" s="685">
        <v>8</v>
      </c>
      <c r="B15" s="696"/>
      <c r="C15" s="687"/>
      <c r="D15" s="688" t="s">
        <v>377</v>
      </c>
      <c r="E15" s="689"/>
      <c r="F15" s="690"/>
      <c r="G15" s="687"/>
      <c r="H15" s="688" t="s">
        <v>377</v>
      </c>
      <c r="I15" s="689"/>
      <c r="J15" s="690"/>
      <c r="K15" s="687"/>
      <c r="L15" s="688" t="s">
        <v>377</v>
      </c>
      <c r="M15" s="689"/>
      <c r="N15" s="690"/>
      <c r="O15" s="687"/>
      <c r="P15" s="688" t="s">
        <v>377</v>
      </c>
      <c r="Q15" s="689"/>
      <c r="R15" s="690"/>
      <c r="S15" s="687"/>
      <c r="T15" s="688" t="s">
        <v>377</v>
      </c>
      <c r="U15" s="689"/>
      <c r="V15" s="690"/>
      <c r="W15" s="691">
        <f t="shared" si="5"/>
        <v>0</v>
      </c>
      <c r="X15" s="692"/>
      <c r="Y15" s="687">
        <f t="shared" si="6"/>
        <v>0</v>
      </c>
      <c r="Z15" s="688" t="s">
        <v>377</v>
      </c>
      <c r="AA15" s="693">
        <f t="shared" si="7"/>
        <v>0</v>
      </c>
      <c r="AB15" s="694">
        <f t="shared" si="8"/>
        <v>0</v>
      </c>
      <c r="AC15" s="695"/>
      <c r="AD15" s="708">
        <f t="shared" si="9"/>
        <v>0</v>
      </c>
      <c r="AE15" s="709" t="str">
        <f>IFERROR(INDEX(Reit!I$8:I$64,MATCH(AF15,Reit!F$8:F$64,0)),"")</f>
        <v/>
      </c>
      <c r="AF15" s="710" t="str">
        <f t="shared" si="10"/>
        <v/>
      </c>
      <c r="AG15" s="709" t="str">
        <f>IFERROR(INDEX(Reit!I$8:I$64,MATCH(AH15,Reit!F$8:F$64,0)),"")</f>
        <v/>
      </c>
      <c r="AH15" s="710" t="str">
        <f t="shared" si="11"/>
        <v/>
      </c>
      <c r="AI15" s="709" t="str">
        <f>IFERROR(INDEX(Reit!I$8:I$64,MATCH(AJ15,Reit!F$8:F$64,0)),"")</f>
        <v/>
      </c>
      <c r="AJ15" s="710" t="str">
        <f t="shared" si="12"/>
        <v/>
      </c>
      <c r="AK15" s="709" t="str">
        <f>IFERROR(INDEX(Reit!I$8:I$64,MATCH(AL15,Reit!F$8:F$64,0)),"")</f>
        <v/>
      </c>
      <c r="AL15" s="710" t="str">
        <f t="shared" si="13"/>
        <v/>
      </c>
      <c r="AM15" s="652"/>
    </row>
    <row r="16" spans="1:39" x14ac:dyDescent="0.2">
      <c r="A16" s="685">
        <v>9</v>
      </c>
      <c r="B16" s="686"/>
      <c r="C16" s="687"/>
      <c r="D16" s="688" t="s">
        <v>377</v>
      </c>
      <c r="E16" s="689"/>
      <c r="F16" s="690"/>
      <c r="G16" s="687"/>
      <c r="H16" s="688" t="s">
        <v>377</v>
      </c>
      <c r="I16" s="689"/>
      <c r="J16" s="690"/>
      <c r="K16" s="687"/>
      <c r="L16" s="688" t="s">
        <v>377</v>
      </c>
      <c r="M16" s="689"/>
      <c r="N16" s="690"/>
      <c r="O16" s="687"/>
      <c r="P16" s="688" t="s">
        <v>377</v>
      </c>
      <c r="Q16" s="689"/>
      <c r="R16" s="690"/>
      <c r="S16" s="687"/>
      <c r="T16" s="688" t="s">
        <v>377</v>
      </c>
      <c r="U16" s="689"/>
      <c r="V16" s="690"/>
      <c r="W16" s="691">
        <f t="shared" si="5"/>
        <v>0</v>
      </c>
      <c r="X16" s="692"/>
      <c r="Y16" s="687">
        <f t="shared" si="6"/>
        <v>0</v>
      </c>
      <c r="Z16" s="688" t="s">
        <v>377</v>
      </c>
      <c r="AA16" s="693">
        <f t="shared" si="7"/>
        <v>0</v>
      </c>
      <c r="AB16" s="694">
        <f t="shared" si="8"/>
        <v>0</v>
      </c>
      <c r="AC16" s="695"/>
      <c r="AD16" s="708">
        <f t="shared" si="9"/>
        <v>0</v>
      </c>
      <c r="AE16" s="709" t="str">
        <f>IFERROR(INDEX(Reit!I$8:I$64,MATCH(AF16,Reit!F$8:F$64,0)),"")</f>
        <v/>
      </c>
      <c r="AF16" s="710" t="str">
        <f t="shared" si="10"/>
        <v/>
      </c>
      <c r="AG16" s="709" t="str">
        <f>IFERROR(INDEX(Reit!I$8:I$64,MATCH(AH16,Reit!F$8:F$64,0)),"")</f>
        <v/>
      </c>
      <c r="AH16" s="710" t="str">
        <f t="shared" si="11"/>
        <v/>
      </c>
      <c r="AI16" s="709" t="str">
        <f>IFERROR(INDEX(Reit!I$8:I$64,MATCH(AJ16,Reit!F$8:F$64,0)),"")</f>
        <v/>
      </c>
      <c r="AJ16" s="710" t="str">
        <f t="shared" si="12"/>
        <v/>
      </c>
      <c r="AK16" s="709" t="str">
        <f>IFERROR(INDEX(Reit!I$8:I$64,MATCH(AL16,Reit!F$8:F$64,0)),"")</f>
        <v/>
      </c>
      <c r="AL16" s="710" t="str">
        <f t="shared" si="13"/>
        <v/>
      </c>
      <c r="AM16" s="652"/>
    </row>
    <row r="17" spans="1:39" x14ac:dyDescent="0.2">
      <c r="A17" s="685">
        <v>10</v>
      </c>
      <c r="B17" s="686"/>
      <c r="C17" s="687"/>
      <c r="D17" s="688" t="s">
        <v>377</v>
      </c>
      <c r="E17" s="689"/>
      <c r="F17" s="690"/>
      <c r="G17" s="687"/>
      <c r="H17" s="688" t="s">
        <v>377</v>
      </c>
      <c r="I17" s="689"/>
      <c r="J17" s="690"/>
      <c r="K17" s="687"/>
      <c r="L17" s="688" t="s">
        <v>377</v>
      </c>
      <c r="M17" s="689"/>
      <c r="N17" s="690"/>
      <c r="O17" s="687"/>
      <c r="P17" s="688" t="s">
        <v>377</v>
      </c>
      <c r="Q17" s="689"/>
      <c r="R17" s="690"/>
      <c r="S17" s="687"/>
      <c r="T17" s="688" t="s">
        <v>377</v>
      </c>
      <c r="U17" s="689"/>
      <c r="V17" s="690"/>
      <c r="W17" s="691">
        <f t="shared" si="5"/>
        <v>0</v>
      </c>
      <c r="X17" s="692"/>
      <c r="Y17" s="687">
        <f t="shared" si="6"/>
        <v>0</v>
      </c>
      <c r="Z17" s="688" t="s">
        <v>377</v>
      </c>
      <c r="AA17" s="693">
        <f t="shared" si="7"/>
        <v>0</v>
      </c>
      <c r="AB17" s="694">
        <f t="shared" si="8"/>
        <v>0</v>
      </c>
      <c r="AC17" s="695"/>
      <c r="AD17" s="708">
        <f t="shared" si="9"/>
        <v>0</v>
      </c>
      <c r="AE17" s="709" t="str">
        <f>IFERROR(INDEX(Reit!I$8:I$64,MATCH(AF17,Reit!F$8:F$64,0)),"")</f>
        <v/>
      </c>
      <c r="AF17" s="710" t="str">
        <f t="shared" si="10"/>
        <v/>
      </c>
      <c r="AG17" s="709" t="str">
        <f>IFERROR(INDEX(Reit!I$8:I$64,MATCH(AH17,Reit!F$8:F$64,0)),"")</f>
        <v/>
      </c>
      <c r="AH17" s="710" t="str">
        <f t="shared" si="11"/>
        <v/>
      </c>
      <c r="AI17" s="709" t="str">
        <f>IFERROR(INDEX(Reit!I$8:I$64,MATCH(AJ17,Reit!F$8:F$64,0)),"")</f>
        <v/>
      </c>
      <c r="AJ17" s="710" t="str">
        <f t="shared" si="12"/>
        <v/>
      </c>
      <c r="AK17" s="709" t="str">
        <f>IFERROR(INDEX(Reit!I$8:I$64,MATCH(AL17,Reit!F$8:F$64,0)),"")</f>
        <v/>
      </c>
      <c r="AL17" s="710" t="str">
        <f t="shared" si="13"/>
        <v/>
      </c>
      <c r="AM17" s="652"/>
    </row>
    <row r="18" spans="1:39" x14ac:dyDescent="0.2">
      <c r="A18" s="685">
        <v>11</v>
      </c>
      <c r="B18" s="696"/>
      <c r="C18" s="687"/>
      <c r="D18" s="688" t="s">
        <v>377</v>
      </c>
      <c r="E18" s="689"/>
      <c r="F18" s="690"/>
      <c r="G18" s="687"/>
      <c r="H18" s="688" t="s">
        <v>377</v>
      </c>
      <c r="I18" s="689"/>
      <c r="J18" s="690"/>
      <c r="K18" s="687"/>
      <c r="L18" s="688" t="s">
        <v>377</v>
      </c>
      <c r="M18" s="689"/>
      <c r="N18" s="690"/>
      <c r="O18" s="687"/>
      <c r="P18" s="688" t="s">
        <v>377</v>
      </c>
      <c r="Q18" s="689"/>
      <c r="R18" s="690"/>
      <c r="S18" s="687"/>
      <c r="T18" s="688" t="s">
        <v>377</v>
      </c>
      <c r="U18" s="689"/>
      <c r="V18" s="690"/>
      <c r="W18" s="691">
        <f t="shared" si="5"/>
        <v>0</v>
      </c>
      <c r="X18" s="692"/>
      <c r="Y18" s="687">
        <f t="shared" si="6"/>
        <v>0</v>
      </c>
      <c r="Z18" s="688" t="s">
        <v>377</v>
      </c>
      <c r="AA18" s="693">
        <f t="shared" si="7"/>
        <v>0</v>
      </c>
      <c r="AB18" s="694">
        <f t="shared" si="8"/>
        <v>0</v>
      </c>
      <c r="AC18" s="695"/>
      <c r="AD18" s="708">
        <f t="shared" si="9"/>
        <v>0</v>
      </c>
      <c r="AE18" s="709" t="str">
        <f>IFERROR(INDEX(Reit!I$8:I$64,MATCH(AF18,Reit!F$8:F$64,0)),"")</f>
        <v/>
      </c>
      <c r="AF18" s="710" t="str">
        <f t="shared" si="10"/>
        <v/>
      </c>
      <c r="AG18" s="709" t="str">
        <f>IFERROR(INDEX(Reit!I$8:I$64,MATCH(AH18,Reit!F$8:F$64,0)),"")</f>
        <v/>
      </c>
      <c r="AH18" s="710" t="str">
        <f t="shared" si="11"/>
        <v/>
      </c>
      <c r="AI18" s="709" t="str">
        <f>IFERROR(INDEX(Reit!I$8:I$64,MATCH(AJ18,Reit!F$8:F$64,0)),"")</f>
        <v/>
      </c>
      <c r="AJ18" s="710" t="str">
        <f t="shared" si="12"/>
        <v/>
      </c>
      <c r="AK18" s="709" t="str">
        <f>IFERROR(INDEX(Reit!I$8:I$64,MATCH(AL18,Reit!F$8:F$64,0)),"")</f>
        <v/>
      </c>
      <c r="AL18" s="710" t="str">
        <f t="shared" si="13"/>
        <v/>
      </c>
      <c r="AM18" s="652"/>
    </row>
    <row r="19" spans="1:39" x14ac:dyDescent="0.2">
      <c r="A19" s="685">
        <v>12</v>
      </c>
      <c r="B19" s="696"/>
      <c r="C19" s="687"/>
      <c r="D19" s="688" t="s">
        <v>377</v>
      </c>
      <c r="E19" s="689"/>
      <c r="F19" s="690"/>
      <c r="G19" s="687"/>
      <c r="H19" s="688" t="s">
        <v>377</v>
      </c>
      <c r="I19" s="689"/>
      <c r="J19" s="690"/>
      <c r="K19" s="687"/>
      <c r="L19" s="688" t="s">
        <v>377</v>
      </c>
      <c r="M19" s="689"/>
      <c r="N19" s="690"/>
      <c r="O19" s="687"/>
      <c r="P19" s="688" t="s">
        <v>377</v>
      </c>
      <c r="Q19" s="689"/>
      <c r="R19" s="690"/>
      <c r="S19" s="687"/>
      <c r="T19" s="688" t="s">
        <v>377</v>
      </c>
      <c r="U19" s="689"/>
      <c r="V19" s="690"/>
      <c r="W19" s="691">
        <f t="shared" si="5"/>
        <v>0</v>
      </c>
      <c r="X19" s="692"/>
      <c r="Y19" s="687">
        <f t="shared" si="6"/>
        <v>0</v>
      </c>
      <c r="Z19" s="688" t="s">
        <v>377</v>
      </c>
      <c r="AA19" s="693">
        <f t="shared" si="7"/>
        <v>0</v>
      </c>
      <c r="AB19" s="694">
        <f t="shared" si="8"/>
        <v>0</v>
      </c>
      <c r="AC19" s="695"/>
      <c r="AD19" s="708">
        <f t="shared" si="9"/>
        <v>0</v>
      </c>
      <c r="AE19" s="709" t="str">
        <f>IFERROR(INDEX(Reit!I$8:I$64,MATCH(AF19,Reit!F$8:F$64,0)),"")</f>
        <v/>
      </c>
      <c r="AF19" s="710" t="str">
        <f t="shared" si="10"/>
        <v/>
      </c>
      <c r="AG19" s="709" t="str">
        <f>IFERROR(INDEX(Reit!I$8:I$64,MATCH(AH19,Reit!F$8:F$64,0)),"")</f>
        <v/>
      </c>
      <c r="AH19" s="710" t="str">
        <f t="shared" si="11"/>
        <v/>
      </c>
      <c r="AI19" s="709" t="str">
        <f>IFERROR(INDEX(Reit!I$8:I$64,MATCH(AJ19,Reit!F$8:F$64,0)),"")</f>
        <v/>
      </c>
      <c r="AJ19" s="710" t="str">
        <f t="shared" si="12"/>
        <v/>
      </c>
      <c r="AK19" s="709" t="str">
        <f>IFERROR(INDEX(Reit!I$8:I$64,MATCH(AL19,Reit!F$8:F$64,0)),"")</f>
        <v/>
      </c>
      <c r="AL19" s="710" t="str">
        <f t="shared" si="13"/>
        <v/>
      </c>
      <c r="AM19" s="652"/>
    </row>
    <row r="20" spans="1:39" x14ac:dyDescent="0.2">
      <c r="A20" s="685">
        <v>13</v>
      </c>
      <c r="B20" s="686"/>
      <c r="C20" s="687"/>
      <c r="D20" s="688" t="s">
        <v>377</v>
      </c>
      <c r="E20" s="689"/>
      <c r="F20" s="690"/>
      <c r="G20" s="687"/>
      <c r="H20" s="688" t="s">
        <v>377</v>
      </c>
      <c r="I20" s="689"/>
      <c r="J20" s="690"/>
      <c r="K20" s="687"/>
      <c r="L20" s="688" t="s">
        <v>377</v>
      </c>
      <c r="M20" s="689"/>
      <c r="N20" s="690"/>
      <c r="O20" s="687"/>
      <c r="P20" s="688" t="s">
        <v>377</v>
      </c>
      <c r="Q20" s="689"/>
      <c r="R20" s="690"/>
      <c r="S20" s="687"/>
      <c r="T20" s="688" t="s">
        <v>377</v>
      </c>
      <c r="U20" s="689"/>
      <c r="V20" s="690"/>
      <c r="W20" s="691">
        <f t="shared" si="5"/>
        <v>0</v>
      </c>
      <c r="X20" s="692"/>
      <c r="Y20" s="687">
        <f t="shared" si="6"/>
        <v>0</v>
      </c>
      <c r="Z20" s="688" t="s">
        <v>377</v>
      </c>
      <c r="AA20" s="693">
        <f t="shared" si="7"/>
        <v>0</v>
      </c>
      <c r="AB20" s="694">
        <f t="shared" si="8"/>
        <v>0</v>
      </c>
      <c r="AC20" s="695"/>
      <c r="AD20" s="708">
        <f t="shared" si="9"/>
        <v>0</v>
      </c>
      <c r="AE20" s="709" t="str">
        <f>IFERROR(INDEX(Reit!I$8:I$64,MATCH(AF20,Reit!F$8:F$64,0)),"")</f>
        <v/>
      </c>
      <c r="AF20" s="710" t="str">
        <f t="shared" si="10"/>
        <v/>
      </c>
      <c r="AG20" s="709" t="str">
        <f>IFERROR(INDEX(Reit!I$8:I$64,MATCH(AH20,Reit!F$8:F$64,0)),"")</f>
        <v/>
      </c>
      <c r="AH20" s="710" t="str">
        <f t="shared" si="11"/>
        <v/>
      </c>
      <c r="AI20" s="709" t="str">
        <f>IFERROR(INDEX(Reit!I$8:I$64,MATCH(AJ20,Reit!F$8:F$64,0)),"")</f>
        <v/>
      </c>
      <c r="AJ20" s="710" t="str">
        <f t="shared" si="12"/>
        <v/>
      </c>
      <c r="AK20" s="709" t="str">
        <f>IFERROR(INDEX(Reit!I$8:I$64,MATCH(AL20,Reit!F$8:F$64,0)),"")</f>
        <v/>
      </c>
      <c r="AL20" s="710" t="str">
        <f t="shared" si="13"/>
        <v/>
      </c>
      <c r="AM20" s="652"/>
    </row>
    <row r="21" spans="1:39" x14ac:dyDescent="0.2">
      <c r="A21" s="685">
        <v>14</v>
      </c>
      <c r="B21" s="696"/>
      <c r="C21" s="687"/>
      <c r="D21" s="688" t="s">
        <v>377</v>
      </c>
      <c r="E21" s="689"/>
      <c r="F21" s="690"/>
      <c r="G21" s="687"/>
      <c r="H21" s="688" t="s">
        <v>377</v>
      </c>
      <c r="I21" s="689"/>
      <c r="J21" s="690"/>
      <c r="K21" s="687"/>
      <c r="L21" s="688" t="s">
        <v>377</v>
      </c>
      <c r="M21" s="689"/>
      <c r="N21" s="690"/>
      <c r="O21" s="687"/>
      <c r="P21" s="688" t="s">
        <v>377</v>
      </c>
      <c r="Q21" s="689"/>
      <c r="R21" s="690"/>
      <c r="S21" s="687"/>
      <c r="T21" s="688" t="s">
        <v>377</v>
      </c>
      <c r="U21" s="689"/>
      <c r="V21" s="690"/>
      <c r="W21" s="691">
        <f t="shared" si="5"/>
        <v>0</v>
      </c>
      <c r="X21" s="692"/>
      <c r="Y21" s="687">
        <f t="shared" si="6"/>
        <v>0</v>
      </c>
      <c r="Z21" s="688" t="s">
        <v>377</v>
      </c>
      <c r="AA21" s="693">
        <f t="shared" si="7"/>
        <v>0</v>
      </c>
      <c r="AB21" s="694">
        <f t="shared" si="8"/>
        <v>0</v>
      </c>
      <c r="AC21" s="695"/>
      <c r="AD21" s="708">
        <f t="shared" si="9"/>
        <v>0</v>
      </c>
      <c r="AE21" s="709" t="str">
        <f>IFERROR(INDEX(Reit!I$8:I$64,MATCH(AF21,Reit!F$8:F$64,0)),"")</f>
        <v/>
      </c>
      <c r="AF21" s="710" t="str">
        <f t="shared" si="10"/>
        <v/>
      </c>
      <c r="AG21" s="709" t="str">
        <f>IFERROR(INDEX(Reit!I$8:I$64,MATCH(AH21,Reit!F$8:F$64,0)),"")</f>
        <v/>
      </c>
      <c r="AH21" s="710" t="str">
        <f t="shared" si="11"/>
        <v/>
      </c>
      <c r="AI21" s="709" t="str">
        <f>IFERROR(INDEX(Reit!I$8:I$64,MATCH(AJ21,Reit!F$8:F$64,0)),"")</f>
        <v/>
      </c>
      <c r="AJ21" s="710" t="str">
        <f t="shared" si="12"/>
        <v/>
      </c>
      <c r="AK21" s="709" t="str">
        <f>IFERROR(INDEX(Reit!I$8:I$64,MATCH(AL21,Reit!F$8:F$64,0)),"")</f>
        <v/>
      </c>
      <c r="AL21" s="710" t="str">
        <f t="shared" si="13"/>
        <v/>
      </c>
      <c r="AM21" s="652"/>
    </row>
    <row r="22" spans="1:39" x14ac:dyDescent="0.2">
      <c r="A22" s="685">
        <v>15</v>
      </c>
      <c r="B22" s="696"/>
      <c r="C22" s="687"/>
      <c r="D22" s="688" t="s">
        <v>377</v>
      </c>
      <c r="E22" s="689"/>
      <c r="F22" s="690"/>
      <c r="G22" s="687"/>
      <c r="H22" s="688" t="s">
        <v>377</v>
      </c>
      <c r="I22" s="689"/>
      <c r="J22" s="690"/>
      <c r="K22" s="687"/>
      <c r="L22" s="688" t="s">
        <v>377</v>
      </c>
      <c r="M22" s="689"/>
      <c r="N22" s="690"/>
      <c r="O22" s="687"/>
      <c r="P22" s="688" t="s">
        <v>377</v>
      </c>
      <c r="Q22" s="689"/>
      <c r="R22" s="690"/>
      <c r="S22" s="687"/>
      <c r="T22" s="688" t="s">
        <v>377</v>
      </c>
      <c r="U22" s="689"/>
      <c r="V22" s="690"/>
      <c r="W22" s="691">
        <f t="shared" si="5"/>
        <v>0</v>
      </c>
      <c r="X22" s="692"/>
      <c r="Y22" s="687">
        <f t="shared" si="6"/>
        <v>0</v>
      </c>
      <c r="Z22" s="688" t="s">
        <v>377</v>
      </c>
      <c r="AA22" s="693">
        <f t="shared" si="7"/>
        <v>0</v>
      </c>
      <c r="AB22" s="694">
        <f t="shared" si="8"/>
        <v>0</v>
      </c>
      <c r="AC22" s="695"/>
      <c r="AD22" s="708">
        <f t="shared" si="9"/>
        <v>0</v>
      </c>
      <c r="AE22" s="709" t="str">
        <f>IFERROR(INDEX(Reit!I$8:I$64,MATCH(AF22,Reit!F$8:F$64,0)),"")</f>
        <v/>
      </c>
      <c r="AF22" s="710" t="str">
        <f t="shared" si="10"/>
        <v/>
      </c>
      <c r="AG22" s="709" t="str">
        <f>IFERROR(INDEX(Reit!I$8:I$64,MATCH(AH22,Reit!F$8:F$64,0)),"")</f>
        <v/>
      </c>
      <c r="AH22" s="710" t="str">
        <f t="shared" si="11"/>
        <v/>
      </c>
      <c r="AI22" s="709" t="str">
        <f>IFERROR(INDEX(Reit!I$8:I$64,MATCH(AJ22,Reit!F$8:F$64,0)),"")</f>
        <v/>
      </c>
      <c r="AJ22" s="710" t="str">
        <f t="shared" si="12"/>
        <v/>
      </c>
      <c r="AK22" s="709" t="str">
        <f>IFERROR(INDEX(Reit!I$8:I$64,MATCH(AL22,Reit!F$8:F$64,0)),"")</f>
        <v/>
      </c>
      <c r="AL22" s="710" t="str">
        <f t="shared" si="13"/>
        <v/>
      </c>
      <c r="AM22" s="652"/>
    </row>
    <row r="23" spans="1:39" x14ac:dyDescent="0.2">
      <c r="A23" s="685">
        <v>16</v>
      </c>
      <c r="B23" s="686"/>
      <c r="C23" s="687"/>
      <c r="D23" s="688" t="s">
        <v>377</v>
      </c>
      <c r="E23" s="689"/>
      <c r="F23" s="690"/>
      <c r="G23" s="687"/>
      <c r="H23" s="688" t="s">
        <v>377</v>
      </c>
      <c r="I23" s="689"/>
      <c r="J23" s="690"/>
      <c r="K23" s="687"/>
      <c r="L23" s="688" t="s">
        <v>377</v>
      </c>
      <c r="M23" s="689"/>
      <c r="N23" s="690"/>
      <c r="O23" s="687"/>
      <c r="P23" s="688" t="s">
        <v>377</v>
      </c>
      <c r="Q23" s="689"/>
      <c r="R23" s="690"/>
      <c r="S23" s="687"/>
      <c r="T23" s="688" t="s">
        <v>377</v>
      </c>
      <c r="U23" s="689"/>
      <c r="V23" s="690"/>
      <c r="W23" s="691">
        <f t="shared" si="5"/>
        <v>0</v>
      </c>
      <c r="X23" s="692"/>
      <c r="Y23" s="687">
        <f t="shared" si="6"/>
        <v>0</v>
      </c>
      <c r="Z23" s="688" t="s">
        <v>377</v>
      </c>
      <c r="AA23" s="693">
        <f t="shared" si="7"/>
        <v>0</v>
      </c>
      <c r="AB23" s="694">
        <f t="shared" si="8"/>
        <v>0</v>
      </c>
      <c r="AC23" s="695"/>
      <c r="AD23" s="708">
        <f t="shared" si="9"/>
        <v>0</v>
      </c>
      <c r="AE23" s="709" t="str">
        <f>IFERROR(INDEX(Reit!I$8:I$64,MATCH(AF23,Reit!F$8:F$64,0)),"")</f>
        <v/>
      </c>
      <c r="AF23" s="710" t="str">
        <f t="shared" si="10"/>
        <v/>
      </c>
      <c r="AG23" s="709" t="str">
        <f>IFERROR(INDEX(Reit!I$8:I$64,MATCH(AH23,Reit!F$8:F$64,0)),"")</f>
        <v/>
      </c>
      <c r="AH23" s="710" t="str">
        <f t="shared" si="11"/>
        <v/>
      </c>
      <c r="AI23" s="709" t="str">
        <f>IFERROR(INDEX(Reit!I$8:I$64,MATCH(AJ23,Reit!F$8:F$64,0)),"")</f>
        <v/>
      </c>
      <c r="AJ23" s="710" t="str">
        <f t="shared" si="12"/>
        <v/>
      </c>
      <c r="AK23" s="709" t="str">
        <f>IFERROR(INDEX(Reit!I$8:I$64,MATCH(AL23,Reit!F$8:F$64,0)),"")</f>
        <v/>
      </c>
      <c r="AL23" s="710" t="str">
        <f t="shared" si="13"/>
        <v/>
      </c>
      <c r="AM23" s="652"/>
    </row>
    <row r="24" spans="1:39" x14ac:dyDescent="0.2">
      <c r="A24" s="685">
        <v>17</v>
      </c>
      <c r="B24" s="696"/>
      <c r="C24" s="687"/>
      <c r="D24" s="688" t="s">
        <v>377</v>
      </c>
      <c r="E24" s="689"/>
      <c r="F24" s="690"/>
      <c r="G24" s="687"/>
      <c r="H24" s="688" t="s">
        <v>377</v>
      </c>
      <c r="I24" s="689"/>
      <c r="J24" s="690"/>
      <c r="K24" s="687"/>
      <c r="L24" s="688" t="s">
        <v>377</v>
      </c>
      <c r="M24" s="689"/>
      <c r="N24" s="690"/>
      <c r="O24" s="687"/>
      <c r="P24" s="688" t="s">
        <v>377</v>
      </c>
      <c r="Q24" s="689"/>
      <c r="R24" s="690"/>
      <c r="S24" s="687"/>
      <c r="T24" s="688" t="s">
        <v>377</v>
      </c>
      <c r="U24" s="689"/>
      <c r="V24" s="690"/>
      <c r="W24" s="691">
        <f t="shared" si="5"/>
        <v>0</v>
      </c>
      <c r="X24" s="692"/>
      <c r="Y24" s="687">
        <f t="shared" si="6"/>
        <v>0</v>
      </c>
      <c r="Z24" s="688" t="s">
        <v>377</v>
      </c>
      <c r="AA24" s="693">
        <f t="shared" si="7"/>
        <v>0</v>
      </c>
      <c r="AB24" s="694">
        <f t="shared" si="8"/>
        <v>0</v>
      </c>
      <c r="AC24" s="695"/>
      <c r="AD24" s="708">
        <f t="shared" si="9"/>
        <v>0</v>
      </c>
      <c r="AE24" s="709" t="str">
        <f>IFERROR(INDEX(Reit!I$8:I$64,MATCH(AF24,Reit!F$8:F$64,0)),"")</f>
        <v/>
      </c>
      <c r="AF24" s="710" t="str">
        <f t="shared" si="10"/>
        <v/>
      </c>
      <c r="AG24" s="709" t="str">
        <f>IFERROR(INDEX(Reit!I$8:I$64,MATCH(AH24,Reit!F$8:F$64,0)),"")</f>
        <v/>
      </c>
      <c r="AH24" s="710" t="str">
        <f t="shared" si="11"/>
        <v/>
      </c>
      <c r="AI24" s="709" t="str">
        <f>IFERROR(INDEX(Reit!I$8:I$64,MATCH(AJ24,Reit!F$8:F$64,0)),"")</f>
        <v/>
      </c>
      <c r="AJ24" s="710" t="str">
        <f t="shared" si="12"/>
        <v/>
      </c>
      <c r="AK24" s="709" t="str">
        <f>IFERROR(INDEX(Reit!I$8:I$64,MATCH(AL24,Reit!F$8:F$64,0)),"")</f>
        <v/>
      </c>
      <c r="AL24" s="710" t="str">
        <f t="shared" si="13"/>
        <v/>
      </c>
      <c r="AM24" s="652"/>
    </row>
    <row r="25" spans="1:39" x14ac:dyDescent="0.2">
      <c r="A25" s="685">
        <v>18</v>
      </c>
      <c r="B25" s="696"/>
      <c r="C25" s="687"/>
      <c r="D25" s="688" t="s">
        <v>377</v>
      </c>
      <c r="E25" s="689"/>
      <c r="F25" s="690"/>
      <c r="G25" s="687"/>
      <c r="H25" s="688" t="s">
        <v>377</v>
      </c>
      <c r="I25" s="689"/>
      <c r="J25" s="690"/>
      <c r="K25" s="687"/>
      <c r="L25" s="688" t="s">
        <v>377</v>
      </c>
      <c r="M25" s="689"/>
      <c r="N25" s="690"/>
      <c r="O25" s="687"/>
      <c r="P25" s="688" t="s">
        <v>377</v>
      </c>
      <c r="Q25" s="689"/>
      <c r="R25" s="690"/>
      <c r="S25" s="687"/>
      <c r="T25" s="688" t="s">
        <v>377</v>
      </c>
      <c r="U25" s="689"/>
      <c r="V25" s="690"/>
      <c r="W25" s="691">
        <f t="shared" si="5"/>
        <v>0</v>
      </c>
      <c r="X25" s="692"/>
      <c r="Y25" s="687">
        <f t="shared" si="6"/>
        <v>0</v>
      </c>
      <c r="Z25" s="688" t="s">
        <v>377</v>
      </c>
      <c r="AA25" s="693">
        <f t="shared" si="7"/>
        <v>0</v>
      </c>
      <c r="AB25" s="694">
        <f t="shared" si="8"/>
        <v>0</v>
      </c>
      <c r="AC25" s="695"/>
      <c r="AD25" s="708">
        <f t="shared" si="9"/>
        <v>0</v>
      </c>
      <c r="AE25" s="709" t="str">
        <f>IFERROR(INDEX(Reit!I$8:I$64,MATCH(AF25,Reit!F$8:F$64,0)),"")</f>
        <v/>
      </c>
      <c r="AF25" s="710" t="str">
        <f t="shared" si="10"/>
        <v/>
      </c>
      <c r="AG25" s="709" t="str">
        <f>IFERROR(INDEX(Reit!I$8:I$64,MATCH(AH25,Reit!F$8:F$64,0)),"")</f>
        <v/>
      </c>
      <c r="AH25" s="710" t="str">
        <f t="shared" si="11"/>
        <v/>
      </c>
      <c r="AI25" s="709" t="str">
        <f>IFERROR(INDEX(Reit!I$8:I$64,MATCH(AJ25,Reit!F$8:F$64,0)),"")</f>
        <v/>
      </c>
      <c r="AJ25" s="710" t="str">
        <f t="shared" si="12"/>
        <v/>
      </c>
      <c r="AK25" s="709" t="str">
        <f>IFERROR(INDEX(Reit!I$8:I$64,MATCH(AL25,Reit!F$8:F$64,0)),"")</f>
        <v/>
      </c>
      <c r="AL25" s="710" t="str">
        <f t="shared" si="13"/>
        <v/>
      </c>
      <c r="AM25" s="652"/>
    </row>
    <row r="26" spans="1:39" x14ac:dyDescent="0.2">
      <c r="A26" s="685">
        <v>19</v>
      </c>
      <c r="B26" s="686"/>
      <c r="C26" s="687"/>
      <c r="D26" s="688" t="s">
        <v>377</v>
      </c>
      <c r="E26" s="689"/>
      <c r="F26" s="690"/>
      <c r="G26" s="687"/>
      <c r="H26" s="688" t="s">
        <v>377</v>
      </c>
      <c r="I26" s="689"/>
      <c r="J26" s="690"/>
      <c r="K26" s="687"/>
      <c r="L26" s="688" t="s">
        <v>377</v>
      </c>
      <c r="M26" s="689"/>
      <c r="N26" s="690"/>
      <c r="O26" s="687"/>
      <c r="P26" s="688" t="s">
        <v>377</v>
      </c>
      <c r="Q26" s="689"/>
      <c r="R26" s="690"/>
      <c r="S26" s="687"/>
      <c r="T26" s="688" t="s">
        <v>377</v>
      </c>
      <c r="U26" s="689"/>
      <c r="V26" s="690"/>
      <c r="W26" s="691">
        <f t="shared" si="5"/>
        <v>0</v>
      </c>
      <c r="X26" s="692"/>
      <c r="Y26" s="687">
        <f t="shared" si="6"/>
        <v>0</v>
      </c>
      <c r="Z26" s="688" t="s">
        <v>377</v>
      </c>
      <c r="AA26" s="693">
        <f t="shared" si="7"/>
        <v>0</v>
      </c>
      <c r="AB26" s="694">
        <f t="shared" si="8"/>
        <v>0</v>
      </c>
      <c r="AC26" s="695"/>
      <c r="AD26" s="708">
        <f t="shared" si="9"/>
        <v>0</v>
      </c>
      <c r="AE26" s="709" t="str">
        <f>IFERROR(INDEX(Reit!I$8:I$64,MATCH(AF26,Reit!F$8:F$64,0)),"")</f>
        <v/>
      </c>
      <c r="AF26" s="710" t="str">
        <f t="shared" si="10"/>
        <v/>
      </c>
      <c r="AG26" s="709" t="str">
        <f>IFERROR(INDEX(Reit!I$8:I$64,MATCH(AH26,Reit!F$8:F$64,0)),"")</f>
        <v/>
      </c>
      <c r="AH26" s="710" t="str">
        <f t="shared" si="11"/>
        <v/>
      </c>
      <c r="AI26" s="709" t="str">
        <f>IFERROR(INDEX(Reit!I$8:I$64,MATCH(AJ26,Reit!F$8:F$64,0)),"")</f>
        <v/>
      </c>
      <c r="AJ26" s="710" t="str">
        <f t="shared" si="12"/>
        <v/>
      </c>
      <c r="AK26" s="709" t="str">
        <f>IFERROR(INDEX(Reit!I$8:I$64,MATCH(AL26,Reit!F$8:F$64,0)),"")</f>
        <v/>
      </c>
      <c r="AL26" s="710" t="str">
        <f t="shared" si="13"/>
        <v/>
      </c>
      <c r="AM26" s="652"/>
    </row>
    <row r="27" spans="1:39" x14ac:dyDescent="0.2">
      <c r="A27" s="685">
        <v>20</v>
      </c>
      <c r="B27" s="696"/>
      <c r="C27" s="687"/>
      <c r="D27" s="688" t="s">
        <v>377</v>
      </c>
      <c r="E27" s="689"/>
      <c r="F27" s="690"/>
      <c r="G27" s="687"/>
      <c r="H27" s="688" t="s">
        <v>377</v>
      </c>
      <c r="I27" s="689"/>
      <c r="J27" s="690"/>
      <c r="K27" s="687"/>
      <c r="L27" s="688" t="s">
        <v>377</v>
      </c>
      <c r="M27" s="689"/>
      <c r="N27" s="690"/>
      <c r="O27" s="687"/>
      <c r="P27" s="688" t="s">
        <v>377</v>
      </c>
      <c r="Q27" s="689"/>
      <c r="R27" s="690"/>
      <c r="S27" s="687"/>
      <c r="T27" s="688" t="s">
        <v>377</v>
      </c>
      <c r="U27" s="689"/>
      <c r="V27" s="690"/>
      <c r="W27" s="691">
        <f t="shared" si="5"/>
        <v>0</v>
      </c>
      <c r="X27" s="692"/>
      <c r="Y27" s="687">
        <f t="shared" si="6"/>
        <v>0</v>
      </c>
      <c r="Z27" s="688" t="s">
        <v>377</v>
      </c>
      <c r="AA27" s="693">
        <f t="shared" si="7"/>
        <v>0</v>
      </c>
      <c r="AB27" s="694">
        <f t="shared" si="8"/>
        <v>0</v>
      </c>
      <c r="AC27" s="695"/>
      <c r="AD27" s="708">
        <f t="shared" si="9"/>
        <v>0</v>
      </c>
      <c r="AE27" s="709" t="str">
        <f>IFERROR(INDEX(Reit!I$8:I$64,MATCH(AF27,Reit!F$8:F$64,0)),"")</f>
        <v/>
      </c>
      <c r="AF27" s="710" t="str">
        <f t="shared" si="10"/>
        <v/>
      </c>
      <c r="AG27" s="709" t="str">
        <f>IFERROR(INDEX(Reit!I$8:I$64,MATCH(AH27,Reit!F$8:F$64,0)),"")</f>
        <v/>
      </c>
      <c r="AH27" s="710" t="str">
        <f t="shared" si="11"/>
        <v/>
      </c>
      <c r="AI27" s="709" t="str">
        <f>IFERROR(INDEX(Reit!I$8:I$64,MATCH(AJ27,Reit!F$8:F$64,0)),"")</f>
        <v/>
      </c>
      <c r="AJ27" s="710" t="str">
        <f t="shared" si="12"/>
        <v/>
      </c>
      <c r="AK27" s="709" t="str">
        <f>IFERROR(INDEX(Reit!I$8:I$64,MATCH(AL27,Reit!F$8:F$64,0)),"")</f>
        <v/>
      </c>
      <c r="AL27" s="710" t="str">
        <f t="shared" si="13"/>
        <v/>
      </c>
      <c r="AM27" s="652"/>
    </row>
    <row r="28" spans="1:39" x14ac:dyDescent="0.2">
      <c r="A28" s="685">
        <v>21</v>
      </c>
      <c r="B28" s="686"/>
      <c r="C28" s="687"/>
      <c r="D28" s="688" t="s">
        <v>377</v>
      </c>
      <c r="E28" s="689"/>
      <c r="F28" s="690"/>
      <c r="G28" s="687"/>
      <c r="H28" s="688" t="s">
        <v>377</v>
      </c>
      <c r="I28" s="689"/>
      <c r="J28" s="690"/>
      <c r="K28" s="687"/>
      <c r="L28" s="688" t="s">
        <v>377</v>
      </c>
      <c r="M28" s="689"/>
      <c r="N28" s="690"/>
      <c r="O28" s="687"/>
      <c r="P28" s="688" t="s">
        <v>377</v>
      </c>
      <c r="Q28" s="689"/>
      <c r="R28" s="690"/>
      <c r="S28" s="687"/>
      <c r="T28" s="688" t="s">
        <v>377</v>
      </c>
      <c r="U28" s="689"/>
      <c r="V28" s="690"/>
      <c r="W28" s="691">
        <f>IF(C28&gt;E28,J$3,IF(C28&lt;E28,J$5,IF(ISNUMBER(C28),J$4,0)))+IF(G28&gt;I28,J$3,IF(G28&lt;I28,J$5,IF(ISNUMBER(G28),J$4,0)))+IF(K28&gt;M28,J$3,IF(K28&lt;M28,J$5,IF(ISNUMBER(K28),J$4,0)))+IF(O28&gt;Q28,J$3,IF(O28&lt;Q28,J$5,IF(ISNUMBER(O28),J$4,0)))+IF(S28&gt;U28,J$3,IF(S28&lt;U28,J$5,IF(ISNUMBER(S28),J$4,0)))</f>
        <v>0</v>
      </c>
      <c r="X28" s="692"/>
      <c r="Y28" s="687">
        <f>C28+G28+K28+O28+S28</f>
        <v>0</v>
      </c>
      <c r="Z28" s="688" t="s">
        <v>377</v>
      </c>
      <c r="AA28" s="693">
        <f>E28+I28+M28+Q28+U28</f>
        <v>0</v>
      </c>
      <c r="AB28" s="694">
        <f>Y28-AA28</f>
        <v>0</v>
      </c>
      <c r="AC28" s="695"/>
      <c r="AD28" s="708">
        <f t="shared" si="9"/>
        <v>0</v>
      </c>
      <c r="AE28" s="709" t="str">
        <f>IFERROR(INDEX(Reit!I$8:I$64,MATCH(AF28,Reit!F$8:F$64,0)),"")</f>
        <v/>
      </c>
      <c r="AF28" s="710" t="str">
        <f t="shared" si="10"/>
        <v/>
      </c>
      <c r="AG28" s="709" t="str">
        <f>IFERROR(INDEX(Reit!I$8:I$64,MATCH(AH28,Reit!F$8:F$64,0)),"")</f>
        <v/>
      </c>
      <c r="AH28" s="710" t="str">
        <f t="shared" si="11"/>
        <v/>
      </c>
      <c r="AI28" s="709" t="str">
        <f>IFERROR(INDEX(Reit!I$8:I$64,MATCH(AJ28,Reit!F$8:F$64,0)),"")</f>
        <v/>
      </c>
      <c r="AJ28" s="710" t="str">
        <f t="shared" si="12"/>
        <v/>
      </c>
      <c r="AK28" s="709" t="str">
        <f>IFERROR(INDEX(Reit!I$8:I$64,MATCH(AL28,Reit!F$8:F$64,0)),"")</f>
        <v/>
      </c>
      <c r="AL28" s="710" t="str">
        <f t="shared" si="13"/>
        <v/>
      </c>
      <c r="AM28" s="652"/>
    </row>
    <row r="29" spans="1:39" x14ac:dyDescent="0.2">
      <c r="A29" s="685">
        <v>22</v>
      </c>
      <c r="B29" s="696"/>
      <c r="C29" s="687"/>
      <c r="D29" s="688" t="s">
        <v>377</v>
      </c>
      <c r="E29" s="689"/>
      <c r="F29" s="690"/>
      <c r="G29" s="687"/>
      <c r="H29" s="688" t="s">
        <v>377</v>
      </c>
      <c r="I29" s="689"/>
      <c r="J29" s="690"/>
      <c r="K29" s="687"/>
      <c r="L29" s="688" t="s">
        <v>377</v>
      </c>
      <c r="M29" s="689"/>
      <c r="N29" s="690"/>
      <c r="O29" s="687"/>
      <c r="P29" s="688" t="s">
        <v>377</v>
      </c>
      <c r="Q29" s="689"/>
      <c r="R29" s="690"/>
      <c r="S29" s="687"/>
      <c r="T29" s="688" t="s">
        <v>377</v>
      </c>
      <c r="U29" s="689"/>
      <c r="V29" s="690"/>
      <c r="W29" s="691">
        <f>IF(C29&gt;E29,J$3,IF(C29&lt;E29,J$5,IF(ISNUMBER(C29),J$4,0)))+IF(G29&gt;I29,J$3,IF(G29&lt;I29,J$5,IF(ISNUMBER(G29),J$4,0)))+IF(K29&gt;M29,J$3,IF(K29&lt;M29,J$5,IF(ISNUMBER(K29),J$4,0)))+IF(O29&gt;Q29,J$3,IF(O29&lt;Q29,J$5,IF(ISNUMBER(O29),J$4,0)))+IF(S29&gt;U29,J$3,IF(S29&lt;U29,J$5,IF(ISNUMBER(S29),J$4,0)))</f>
        <v>0</v>
      </c>
      <c r="X29" s="692"/>
      <c r="Y29" s="687">
        <f>C29+G29+K29+O29+S29</f>
        <v>0</v>
      </c>
      <c r="Z29" s="688" t="s">
        <v>377</v>
      </c>
      <c r="AA29" s="693">
        <f>E29+I29+M29+Q29+U29</f>
        <v>0</v>
      </c>
      <c r="AB29" s="694">
        <f>Y29-AA29</f>
        <v>0</v>
      </c>
      <c r="AC29" s="695"/>
      <c r="AD29" s="708">
        <f t="shared" si="9"/>
        <v>0</v>
      </c>
      <c r="AE29" s="709" t="str">
        <f>IFERROR(INDEX(Reit!I$8:I$64,MATCH(AF29,Reit!F$8:F$64,0)),"")</f>
        <v/>
      </c>
      <c r="AF29" s="710" t="str">
        <f t="shared" si="10"/>
        <v/>
      </c>
      <c r="AG29" s="709" t="str">
        <f>IFERROR(INDEX(Reit!I$8:I$64,MATCH(AH29,Reit!F$8:F$64,0)),"")</f>
        <v/>
      </c>
      <c r="AH29" s="710" t="str">
        <f t="shared" si="11"/>
        <v/>
      </c>
      <c r="AI29" s="709" t="str">
        <f>IFERROR(INDEX(Reit!I$8:I$64,MATCH(AJ29,Reit!F$8:F$64,0)),"")</f>
        <v/>
      </c>
      <c r="AJ29" s="710" t="str">
        <f t="shared" si="12"/>
        <v/>
      </c>
      <c r="AK29" s="709" t="str">
        <f>IFERROR(INDEX(Reit!I$8:I$64,MATCH(AL29,Reit!F$8:F$64,0)),"")</f>
        <v/>
      </c>
      <c r="AL29" s="710" t="str">
        <f t="shared" si="13"/>
        <v/>
      </c>
      <c r="AM29" s="652"/>
    </row>
    <row r="30" spans="1:39" x14ac:dyDescent="0.2">
      <c r="A30" s="685">
        <v>23</v>
      </c>
      <c r="B30" s="686"/>
      <c r="C30" s="687"/>
      <c r="D30" s="688" t="s">
        <v>377</v>
      </c>
      <c r="E30" s="689"/>
      <c r="F30" s="690"/>
      <c r="G30" s="687"/>
      <c r="H30" s="688" t="s">
        <v>377</v>
      </c>
      <c r="I30" s="689"/>
      <c r="J30" s="690"/>
      <c r="K30" s="687"/>
      <c r="L30" s="688" t="s">
        <v>377</v>
      </c>
      <c r="M30" s="689"/>
      <c r="N30" s="690"/>
      <c r="O30" s="687"/>
      <c r="P30" s="688" t="s">
        <v>377</v>
      </c>
      <c r="Q30" s="689"/>
      <c r="R30" s="690"/>
      <c r="S30" s="687"/>
      <c r="T30" s="688" t="s">
        <v>377</v>
      </c>
      <c r="U30" s="689"/>
      <c r="V30" s="690"/>
      <c r="W30" s="691">
        <f>IF(C30&gt;E30,J$3,IF(C30&lt;E30,J$5,IF(ISNUMBER(C30),J$4,0)))+IF(G30&gt;I30,J$3,IF(G30&lt;I30,J$5,IF(ISNUMBER(G30),J$4,0)))+IF(K30&gt;M30,J$3,IF(K30&lt;M30,J$5,IF(ISNUMBER(K30),J$4,0)))+IF(O30&gt;Q30,J$3,IF(O30&lt;Q30,J$5,IF(ISNUMBER(O30),J$4,0)))+IF(S30&gt;U30,J$3,IF(S30&lt;U30,J$5,IF(ISNUMBER(S30),J$4,0)))</f>
        <v>0</v>
      </c>
      <c r="X30" s="692"/>
      <c r="Y30" s="687">
        <f>C30+G30+K30+O30+S30</f>
        <v>0</v>
      </c>
      <c r="Z30" s="688" t="s">
        <v>377</v>
      </c>
      <c r="AA30" s="693">
        <f>E30+I30+M30+Q30+U30</f>
        <v>0</v>
      </c>
      <c r="AB30" s="694">
        <f>Y30-AA30</f>
        <v>0</v>
      </c>
      <c r="AC30" s="695"/>
      <c r="AD30" s="708">
        <f t="shared" si="9"/>
        <v>0</v>
      </c>
      <c r="AE30" s="709" t="str">
        <f>IFERROR(INDEX(Reit!I$8:I$64,MATCH(AF30,Reit!F$8:F$64,0)),"")</f>
        <v/>
      </c>
      <c r="AF30" s="710" t="str">
        <f t="shared" si="10"/>
        <v/>
      </c>
      <c r="AG30" s="709" t="str">
        <f>IFERROR(INDEX(Reit!I$8:I$64,MATCH(AH30,Reit!F$8:F$64,0)),"")</f>
        <v/>
      </c>
      <c r="AH30" s="710" t="str">
        <f t="shared" si="11"/>
        <v/>
      </c>
      <c r="AI30" s="709" t="str">
        <f>IFERROR(INDEX(Reit!I$8:I$64,MATCH(AJ30,Reit!F$8:F$64,0)),"")</f>
        <v/>
      </c>
      <c r="AJ30" s="710" t="str">
        <f t="shared" si="12"/>
        <v/>
      </c>
      <c r="AK30" s="709" t="str">
        <f>IFERROR(INDEX(Reit!I$8:I$64,MATCH(AL30,Reit!F$8:F$64,0)),"")</f>
        <v/>
      </c>
      <c r="AL30" s="710" t="str">
        <f t="shared" si="13"/>
        <v/>
      </c>
      <c r="AM30" s="652"/>
    </row>
    <row r="31" spans="1:39" x14ac:dyDescent="0.2">
      <c r="A31" s="685">
        <v>24</v>
      </c>
      <c r="B31" s="696"/>
      <c r="C31" s="687"/>
      <c r="D31" s="688" t="s">
        <v>377</v>
      </c>
      <c r="E31" s="689"/>
      <c r="F31" s="690"/>
      <c r="G31" s="687"/>
      <c r="H31" s="688" t="s">
        <v>377</v>
      </c>
      <c r="I31" s="689"/>
      <c r="J31" s="690"/>
      <c r="K31" s="687"/>
      <c r="L31" s="688" t="s">
        <v>377</v>
      </c>
      <c r="M31" s="689"/>
      <c r="N31" s="690"/>
      <c r="O31" s="687"/>
      <c r="P31" s="688" t="s">
        <v>377</v>
      </c>
      <c r="Q31" s="689"/>
      <c r="R31" s="690"/>
      <c r="S31" s="687"/>
      <c r="T31" s="688" t="s">
        <v>377</v>
      </c>
      <c r="U31" s="689"/>
      <c r="V31" s="690"/>
      <c r="W31" s="691">
        <f>IF(C31&gt;E31,J$3,IF(C31&lt;E31,J$5,IF(ISNUMBER(C31),J$4,0)))+IF(G31&gt;I31,J$3,IF(G31&lt;I31,J$5,IF(ISNUMBER(G31),J$4,0)))+IF(K31&gt;M31,J$3,IF(K31&lt;M31,J$5,IF(ISNUMBER(K31),J$4,0)))+IF(O31&gt;Q31,J$3,IF(O31&lt;Q31,J$5,IF(ISNUMBER(O31),J$4,0)))+IF(S31&gt;U31,J$3,IF(S31&lt;U31,J$5,IF(ISNUMBER(S31),J$4,0)))</f>
        <v>0</v>
      </c>
      <c r="X31" s="692"/>
      <c r="Y31" s="687">
        <f>C31+G31+K31+O31+S31</f>
        <v>0</v>
      </c>
      <c r="Z31" s="688" t="s">
        <v>377</v>
      </c>
      <c r="AA31" s="693">
        <f>E31+I31+M31+Q31+U31</f>
        <v>0</v>
      </c>
      <c r="AB31" s="694">
        <f>Y31-AA31</f>
        <v>0</v>
      </c>
      <c r="AC31" s="695"/>
      <c r="AD31" s="708">
        <f t="shared" si="9"/>
        <v>0</v>
      </c>
      <c r="AE31" s="709" t="str">
        <f>IFERROR(INDEX(Reit!I$8:I$64,MATCH(AF31,Reit!F$8:F$64,0)),"")</f>
        <v/>
      </c>
      <c r="AF31" s="710" t="str">
        <f t="shared" si="10"/>
        <v/>
      </c>
      <c r="AG31" s="709" t="str">
        <f>IFERROR(INDEX(Reit!I$8:I$64,MATCH(AH31,Reit!F$8:F$64,0)),"")</f>
        <v/>
      </c>
      <c r="AH31" s="710" t="str">
        <f t="shared" si="11"/>
        <v/>
      </c>
      <c r="AI31" s="709" t="str">
        <f>IFERROR(INDEX(Reit!I$8:I$64,MATCH(AJ31,Reit!F$8:F$64,0)),"")</f>
        <v/>
      </c>
      <c r="AJ31" s="710" t="str">
        <f t="shared" si="12"/>
        <v/>
      </c>
      <c r="AK31" s="709" t="str">
        <f>IFERROR(INDEX(Reit!I$8:I$64,MATCH(AL31,Reit!F$8:F$64,0)),"")</f>
        <v/>
      </c>
      <c r="AL31" s="710" t="str">
        <f t="shared" si="13"/>
        <v/>
      </c>
      <c r="AM31" s="652"/>
    </row>
    <row r="32" spans="1:39"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row>
    <row r="33" spans="1:39"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row>
    <row r="34" spans="1:39"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row>
    <row r="35" spans="1:39"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row>
    <row r="36" spans="1:39"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2"/>
    </row>
    <row r="133" spans="1:39"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c r="AH133" s="652"/>
      <c r="AI133" s="652"/>
      <c r="AJ133" s="652"/>
      <c r="AK133" s="652"/>
      <c r="AL133" s="652"/>
      <c r="AM133" s="652"/>
    </row>
    <row r="134" spans="1:39" x14ac:dyDescent="0.2">
      <c r="A134" s="652"/>
      <c r="B134" s="652"/>
      <c r="C134" s="652"/>
      <c r="D134" s="652"/>
      <c r="E134" s="652"/>
      <c r="F134" s="652"/>
      <c r="G134" s="652"/>
      <c r="H134" s="652"/>
      <c r="I134" s="652"/>
      <c r="J134" s="652"/>
      <c r="K134" s="652"/>
      <c r="L134" s="652"/>
      <c r="M134" s="652"/>
      <c r="N134" s="652"/>
      <c r="O134" s="652"/>
      <c r="P134" s="652"/>
      <c r="Q134" s="652"/>
      <c r="R134" s="652"/>
      <c r="S134" s="652"/>
      <c r="T134" s="652"/>
      <c r="U134" s="652"/>
      <c r="V134" s="652"/>
      <c r="W134" s="652"/>
      <c r="X134" s="652"/>
      <c r="Y134" s="652"/>
      <c r="Z134" s="652"/>
      <c r="AA134" s="652"/>
      <c r="AB134" s="652"/>
      <c r="AC134" s="652"/>
      <c r="AD134" s="652"/>
      <c r="AE134" s="652"/>
      <c r="AF134" s="652"/>
      <c r="AG134" s="652"/>
      <c r="AH134" s="652"/>
      <c r="AI134" s="652"/>
      <c r="AJ134" s="652"/>
      <c r="AK134" s="652"/>
      <c r="AL134" s="652"/>
      <c r="AM134" s="652"/>
    </row>
    <row r="135" spans="1:39" x14ac:dyDescent="0.2">
      <c r="A135" s="652"/>
      <c r="B135" s="652"/>
      <c r="C135" s="652"/>
      <c r="D135" s="652"/>
      <c r="E135" s="652"/>
      <c r="F135" s="652"/>
      <c r="G135" s="652"/>
      <c r="H135" s="652"/>
      <c r="I135" s="652"/>
      <c r="J135" s="652"/>
      <c r="K135" s="652"/>
      <c r="L135" s="652"/>
      <c r="M135" s="652"/>
      <c r="N135" s="652"/>
      <c r="O135" s="652"/>
      <c r="P135" s="652"/>
      <c r="Q135" s="652"/>
      <c r="R135" s="652"/>
      <c r="S135" s="652"/>
      <c r="T135" s="652"/>
      <c r="U135" s="652"/>
      <c r="V135" s="652"/>
      <c r="W135" s="652"/>
      <c r="X135" s="652"/>
      <c r="Y135" s="652"/>
      <c r="Z135" s="652"/>
      <c r="AA135" s="652"/>
      <c r="AB135" s="652"/>
      <c r="AC135" s="652"/>
      <c r="AD135" s="652"/>
      <c r="AE135" s="652"/>
      <c r="AF135" s="652"/>
      <c r="AG135" s="652"/>
      <c r="AH135" s="652"/>
      <c r="AI135" s="652"/>
      <c r="AJ135" s="652"/>
      <c r="AK135" s="652"/>
      <c r="AL135" s="652"/>
      <c r="AM135" s="652"/>
    </row>
    <row r="136" spans="1:39" x14ac:dyDescent="0.2">
      <c r="A136" s="652"/>
      <c r="B136" s="652"/>
      <c r="C136" s="652"/>
      <c r="D136" s="652"/>
      <c r="E136" s="652"/>
      <c r="F136" s="652"/>
      <c r="G136" s="652"/>
      <c r="H136" s="652"/>
      <c r="I136" s="652"/>
      <c r="J136" s="652"/>
      <c r="K136" s="652"/>
      <c r="L136" s="652"/>
      <c r="M136" s="652"/>
      <c r="N136" s="652"/>
      <c r="O136" s="652"/>
      <c r="P136" s="652"/>
      <c r="Q136" s="652"/>
      <c r="R136" s="652"/>
      <c r="S136" s="652"/>
      <c r="T136" s="652"/>
      <c r="U136" s="652"/>
      <c r="V136" s="652"/>
      <c r="W136" s="652"/>
      <c r="X136" s="652"/>
      <c r="Y136" s="652"/>
      <c r="Z136" s="652"/>
      <c r="AA136" s="652"/>
      <c r="AB136" s="652"/>
      <c r="AC136" s="652"/>
      <c r="AD136" s="652"/>
      <c r="AE136" s="652"/>
      <c r="AF136" s="652"/>
      <c r="AG136" s="652"/>
      <c r="AH136" s="652"/>
      <c r="AI136" s="652"/>
      <c r="AJ136" s="652"/>
      <c r="AK136" s="652"/>
      <c r="AL136" s="652"/>
      <c r="AM136" s="652"/>
    </row>
    <row r="137" spans="1:39" x14ac:dyDescent="0.2">
      <c r="A137" s="652"/>
      <c r="B137" s="652"/>
      <c r="C137" s="652"/>
      <c r="D137" s="652"/>
      <c r="E137" s="652"/>
      <c r="F137" s="652"/>
      <c r="G137" s="652"/>
      <c r="H137" s="652"/>
      <c r="I137" s="652"/>
      <c r="J137" s="652"/>
      <c r="K137" s="652"/>
      <c r="L137" s="652"/>
      <c r="M137" s="652"/>
      <c r="N137" s="652"/>
      <c r="O137" s="652"/>
      <c r="P137" s="652"/>
      <c r="Q137" s="652"/>
      <c r="R137" s="652"/>
      <c r="S137" s="652"/>
      <c r="T137" s="652"/>
      <c r="U137" s="652"/>
      <c r="V137" s="652"/>
      <c r="W137" s="652"/>
      <c r="X137" s="652"/>
      <c r="Y137" s="652"/>
      <c r="Z137" s="652"/>
      <c r="AA137" s="652"/>
      <c r="AB137" s="652"/>
      <c r="AC137" s="652"/>
      <c r="AD137" s="652"/>
      <c r="AE137" s="652"/>
      <c r="AF137" s="652"/>
      <c r="AG137" s="652"/>
      <c r="AH137" s="652"/>
      <c r="AI137" s="652"/>
      <c r="AJ137" s="652"/>
      <c r="AK137" s="652"/>
      <c r="AL137" s="652"/>
      <c r="AM137" s="652"/>
    </row>
    <row r="138" spans="1:39" x14ac:dyDescent="0.2">
      <c r="A138" s="652"/>
      <c r="B138" s="652"/>
      <c r="C138" s="652"/>
      <c r="D138" s="652"/>
      <c r="E138" s="652"/>
      <c r="F138" s="652"/>
      <c r="G138" s="652"/>
      <c r="H138" s="652"/>
      <c r="I138" s="652"/>
      <c r="J138" s="652"/>
      <c r="K138" s="652"/>
      <c r="L138" s="652"/>
      <c r="M138" s="652"/>
      <c r="N138" s="652"/>
      <c r="O138" s="652"/>
      <c r="P138" s="652"/>
      <c r="Q138" s="652"/>
      <c r="R138" s="652"/>
      <c r="S138" s="652"/>
      <c r="T138" s="652"/>
      <c r="U138" s="652"/>
      <c r="V138" s="652"/>
      <c r="W138" s="652"/>
      <c r="X138" s="652"/>
      <c r="Y138" s="652"/>
      <c r="Z138" s="652"/>
      <c r="AA138" s="652"/>
      <c r="AB138" s="652"/>
      <c r="AC138" s="652"/>
      <c r="AD138" s="652"/>
      <c r="AE138" s="652"/>
      <c r="AF138" s="652"/>
      <c r="AG138" s="652"/>
      <c r="AH138" s="652"/>
      <c r="AI138" s="652"/>
      <c r="AJ138" s="652"/>
      <c r="AK138" s="652"/>
      <c r="AL138" s="652"/>
      <c r="AM138" s="652"/>
    </row>
    <row r="139" spans="1:39" x14ac:dyDescent="0.2">
      <c r="A139" s="652"/>
      <c r="B139" s="652"/>
      <c r="C139" s="652"/>
      <c r="D139" s="652"/>
      <c r="E139" s="652"/>
      <c r="F139" s="652"/>
      <c r="G139" s="652"/>
      <c r="H139" s="652"/>
      <c r="I139" s="652"/>
      <c r="J139" s="652"/>
      <c r="K139" s="652"/>
      <c r="L139" s="652"/>
      <c r="M139" s="652"/>
      <c r="N139" s="652"/>
      <c r="O139" s="652"/>
      <c r="P139" s="652"/>
      <c r="Q139" s="652"/>
      <c r="R139" s="652"/>
      <c r="S139" s="652"/>
      <c r="T139" s="652"/>
      <c r="U139" s="652"/>
      <c r="V139" s="652"/>
      <c r="W139" s="652"/>
      <c r="X139" s="652"/>
      <c r="Y139" s="652"/>
      <c r="Z139" s="652"/>
      <c r="AA139" s="652"/>
      <c r="AB139" s="652"/>
      <c r="AC139" s="652"/>
      <c r="AD139" s="652"/>
      <c r="AE139" s="652"/>
      <c r="AF139" s="652"/>
      <c r="AG139" s="652"/>
      <c r="AH139" s="652"/>
      <c r="AI139" s="652"/>
      <c r="AJ139" s="652"/>
      <c r="AK139" s="652"/>
      <c r="AL139" s="652"/>
      <c r="AM139" s="652"/>
    </row>
    <row r="140" spans="1:39" x14ac:dyDescent="0.2">
      <c r="A140" s="652"/>
      <c r="B140" s="652"/>
      <c r="C140" s="652"/>
      <c r="D140" s="652"/>
      <c r="E140" s="652"/>
      <c r="F140" s="652"/>
      <c r="G140" s="652"/>
      <c r="H140" s="652"/>
      <c r="I140" s="652"/>
      <c r="J140" s="652"/>
      <c r="K140" s="652"/>
      <c r="L140" s="652"/>
      <c r="M140" s="652"/>
      <c r="N140" s="652"/>
      <c r="O140" s="652"/>
      <c r="P140" s="652"/>
      <c r="Q140" s="652"/>
      <c r="R140" s="652"/>
      <c r="S140" s="652"/>
      <c r="T140" s="652"/>
      <c r="U140" s="652"/>
      <c r="V140" s="652"/>
      <c r="W140" s="652"/>
      <c r="X140" s="652"/>
      <c r="Y140" s="652"/>
      <c r="Z140" s="652"/>
      <c r="AA140" s="652"/>
      <c r="AB140" s="652"/>
      <c r="AC140" s="652"/>
      <c r="AD140" s="652"/>
      <c r="AE140" s="652"/>
      <c r="AF140" s="652"/>
      <c r="AG140" s="652"/>
      <c r="AH140" s="652"/>
      <c r="AI140" s="652"/>
      <c r="AJ140" s="652"/>
      <c r="AK140" s="652"/>
      <c r="AL140" s="652"/>
      <c r="AM140" s="652"/>
    </row>
    <row r="141" spans="1:39" x14ac:dyDescent="0.2">
      <c r="A141" s="652"/>
      <c r="B141" s="652"/>
      <c r="C141" s="652"/>
      <c r="D141" s="652"/>
      <c r="E141" s="652"/>
      <c r="F141" s="652"/>
      <c r="G141" s="652"/>
      <c r="H141" s="652"/>
      <c r="I141" s="652"/>
      <c r="J141" s="652"/>
      <c r="K141" s="652"/>
      <c r="L141" s="652"/>
      <c r="M141" s="652"/>
      <c r="N141" s="652"/>
      <c r="O141" s="652"/>
      <c r="P141" s="652"/>
      <c r="Q141" s="652"/>
      <c r="R141" s="652"/>
      <c r="S141" s="652"/>
      <c r="T141" s="652"/>
      <c r="U141" s="652"/>
      <c r="V141" s="652"/>
      <c r="W141" s="652"/>
      <c r="X141" s="652"/>
      <c r="Y141" s="652"/>
      <c r="Z141" s="652"/>
      <c r="AA141" s="652"/>
      <c r="AB141" s="652"/>
      <c r="AC141" s="652"/>
      <c r="AD141" s="652"/>
      <c r="AE141" s="652"/>
      <c r="AF141" s="652"/>
      <c r="AG141" s="652"/>
      <c r="AH141" s="652"/>
      <c r="AI141" s="652"/>
      <c r="AJ141" s="652"/>
      <c r="AK141" s="652"/>
      <c r="AL141" s="652"/>
      <c r="AM141" s="652"/>
    </row>
    <row r="142" spans="1:39" x14ac:dyDescent="0.2">
      <c r="A142" s="652"/>
      <c r="B142" s="652"/>
      <c r="C142" s="652"/>
      <c r="D142" s="652"/>
      <c r="E142" s="652"/>
      <c r="F142" s="652"/>
      <c r="G142" s="652"/>
      <c r="H142" s="652"/>
      <c r="I142" s="652"/>
      <c r="J142" s="652"/>
      <c r="K142" s="652"/>
      <c r="L142" s="652"/>
      <c r="M142" s="652"/>
      <c r="N142" s="652"/>
      <c r="O142" s="652"/>
      <c r="P142" s="652"/>
      <c r="Q142" s="652"/>
      <c r="R142" s="652"/>
      <c r="S142" s="652"/>
      <c r="T142" s="652"/>
      <c r="U142" s="652"/>
      <c r="V142" s="652"/>
      <c r="W142" s="652"/>
      <c r="X142" s="652"/>
      <c r="Y142" s="652"/>
      <c r="Z142" s="652"/>
      <c r="AA142" s="652"/>
      <c r="AB142" s="652"/>
      <c r="AC142" s="652"/>
      <c r="AD142" s="652"/>
      <c r="AE142" s="652"/>
      <c r="AF142" s="652"/>
      <c r="AG142" s="652"/>
      <c r="AH142" s="652"/>
      <c r="AI142" s="652"/>
      <c r="AJ142" s="652"/>
      <c r="AK142" s="652"/>
      <c r="AL142" s="652"/>
      <c r="AM142" s="652"/>
    </row>
    <row r="143" spans="1:39" x14ac:dyDescent="0.2">
      <c r="A143" s="652"/>
      <c r="B143" s="652"/>
      <c r="C143" s="652"/>
      <c r="D143" s="652"/>
      <c r="E143" s="652"/>
      <c r="F143" s="652"/>
      <c r="G143" s="652"/>
      <c r="H143" s="652"/>
      <c r="I143" s="652"/>
      <c r="J143" s="652"/>
      <c r="K143" s="652"/>
      <c r="L143" s="652"/>
      <c r="M143" s="652"/>
      <c r="N143" s="652"/>
      <c r="O143" s="652"/>
      <c r="P143" s="652"/>
      <c r="Q143" s="652"/>
      <c r="R143" s="652"/>
      <c r="S143" s="652"/>
      <c r="T143" s="652"/>
      <c r="U143" s="652"/>
      <c r="V143" s="652"/>
      <c r="W143" s="652"/>
      <c r="X143" s="652"/>
      <c r="Y143" s="652"/>
      <c r="Z143" s="652"/>
      <c r="AA143" s="652"/>
      <c r="AB143" s="652"/>
      <c r="AC143" s="652"/>
      <c r="AD143" s="652"/>
      <c r="AE143" s="652"/>
      <c r="AF143" s="652"/>
      <c r="AG143" s="652"/>
      <c r="AH143" s="652"/>
      <c r="AI143" s="652"/>
      <c r="AJ143" s="652"/>
      <c r="AK143" s="652"/>
      <c r="AL143" s="652"/>
      <c r="AM143" s="652"/>
    </row>
    <row r="144" spans="1:39" x14ac:dyDescent="0.2">
      <c r="A144" s="652"/>
      <c r="B144" s="652"/>
      <c r="C144" s="652"/>
      <c r="D144" s="652"/>
      <c r="E144" s="652"/>
      <c r="F144" s="652"/>
      <c r="G144" s="652"/>
      <c r="H144" s="652"/>
      <c r="I144" s="652"/>
      <c r="J144" s="652"/>
      <c r="K144" s="652"/>
      <c r="L144" s="652"/>
      <c r="M144" s="652"/>
      <c r="N144" s="652"/>
      <c r="O144" s="652"/>
      <c r="P144" s="652"/>
      <c r="Q144" s="652"/>
      <c r="R144" s="652"/>
      <c r="S144" s="652"/>
      <c r="T144" s="652"/>
      <c r="U144" s="652"/>
      <c r="V144" s="652"/>
      <c r="W144" s="652"/>
      <c r="X144" s="652"/>
      <c r="Y144" s="652"/>
      <c r="Z144" s="652"/>
      <c r="AA144" s="652"/>
      <c r="AB144" s="652"/>
      <c r="AC144" s="652"/>
      <c r="AD144" s="652"/>
      <c r="AE144" s="652"/>
      <c r="AF144" s="652"/>
      <c r="AG144" s="652"/>
      <c r="AH144" s="652"/>
      <c r="AI144" s="652"/>
      <c r="AJ144" s="652"/>
      <c r="AK144" s="652"/>
      <c r="AL144" s="652"/>
      <c r="AM144" s="652"/>
    </row>
    <row r="145" spans="1:39" x14ac:dyDescent="0.2">
      <c r="A145" s="652"/>
      <c r="B145" s="652"/>
      <c r="C145" s="652"/>
      <c r="D145" s="652"/>
      <c r="E145" s="652"/>
      <c r="F145" s="652"/>
      <c r="G145" s="652"/>
      <c r="H145" s="652"/>
      <c r="I145" s="652"/>
      <c r="J145" s="652"/>
      <c r="K145" s="652"/>
      <c r="L145" s="652"/>
      <c r="M145" s="652"/>
      <c r="N145" s="652"/>
      <c r="O145" s="652"/>
      <c r="P145" s="652"/>
      <c r="Q145" s="652"/>
      <c r="R145" s="652"/>
      <c r="S145" s="652"/>
      <c r="T145" s="652"/>
      <c r="U145" s="652"/>
      <c r="V145" s="652"/>
      <c r="W145" s="652"/>
      <c r="X145" s="652"/>
      <c r="Y145" s="652"/>
      <c r="Z145" s="652"/>
      <c r="AA145" s="652"/>
      <c r="AB145" s="652"/>
      <c r="AC145" s="652"/>
      <c r="AD145" s="652"/>
      <c r="AE145" s="652"/>
      <c r="AF145" s="652"/>
      <c r="AG145" s="652"/>
      <c r="AH145" s="652"/>
      <c r="AI145" s="652"/>
      <c r="AJ145" s="652"/>
      <c r="AK145" s="652"/>
      <c r="AL145" s="652"/>
      <c r="AM145" s="652"/>
    </row>
    <row r="146" spans="1:39" x14ac:dyDescent="0.2">
      <c r="A146" s="652"/>
      <c r="B146" s="652"/>
      <c r="C146" s="652"/>
      <c r="D146" s="652"/>
      <c r="E146" s="652"/>
      <c r="F146" s="652"/>
      <c r="G146" s="652"/>
      <c r="H146" s="652"/>
      <c r="I146" s="652"/>
      <c r="J146" s="652"/>
      <c r="K146" s="652"/>
      <c r="L146" s="652"/>
      <c r="M146" s="652"/>
      <c r="N146" s="652"/>
      <c r="O146" s="652"/>
      <c r="P146" s="652"/>
      <c r="Q146" s="652"/>
      <c r="R146" s="652"/>
      <c r="S146" s="652"/>
      <c r="T146" s="652"/>
      <c r="U146" s="652"/>
      <c r="V146" s="652"/>
      <c r="W146" s="652"/>
      <c r="X146" s="652"/>
      <c r="Y146" s="652"/>
      <c r="Z146" s="652"/>
      <c r="AA146" s="652"/>
      <c r="AB146" s="652"/>
      <c r="AC146" s="652"/>
      <c r="AD146" s="652"/>
      <c r="AE146" s="652"/>
      <c r="AF146" s="652"/>
      <c r="AG146" s="652"/>
      <c r="AH146" s="652"/>
      <c r="AI146" s="652"/>
      <c r="AJ146" s="652"/>
      <c r="AK146" s="652"/>
      <c r="AL146" s="652"/>
      <c r="AM146" s="652"/>
    </row>
    <row r="147" spans="1:39"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c r="AI148" s="652"/>
      <c r="AJ148" s="652"/>
      <c r="AK148" s="652"/>
      <c r="AL148" s="652"/>
      <c r="AM148" s="652"/>
    </row>
    <row r="149" spans="1:39"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c r="AH149" s="652"/>
      <c r="AI149" s="652"/>
      <c r="AJ149" s="652"/>
      <c r="AK149" s="652"/>
      <c r="AL149" s="652"/>
      <c r="AM149" s="652"/>
    </row>
    <row r="150" spans="1:39" x14ac:dyDescent="0.2">
      <c r="A150" s="652"/>
      <c r="B150" s="652"/>
      <c r="C150" s="652"/>
      <c r="D150" s="652"/>
      <c r="E150" s="652"/>
      <c r="F150" s="652"/>
      <c r="G150" s="652"/>
      <c r="H150" s="652"/>
      <c r="I150" s="652"/>
      <c r="J150" s="652"/>
      <c r="K150" s="652"/>
      <c r="L150" s="657"/>
      <c r="M150" s="657"/>
      <c r="N150" s="657"/>
      <c r="O150" s="652"/>
      <c r="P150" s="652"/>
      <c r="Q150" s="652"/>
      <c r="R150" s="652"/>
      <c r="S150" s="652"/>
      <c r="T150" s="657"/>
      <c r="U150" s="657"/>
      <c r="V150" s="657"/>
      <c r="W150" s="652"/>
      <c r="X150" s="652"/>
      <c r="Y150" s="652"/>
      <c r="Z150" s="652"/>
      <c r="AA150" s="652"/>
      <c r="AB150" s="652"/>
      <c r="AC150" s="652"/>
      <c r="AD150" s="652"/>
      <c r="AE150" s="652"/>
      <c r="AF150" s="652"/>
      <c r="AG150" s="652"/>
      <c r="AH150" s="652"/>
      <c r="AI150" s="652"/>
      <c r="AJ150" s="652"/>
      <c r="AK150" s="652"/>
      <c r="AL150" s="652"/>
      <c r="AM150" s="652"/>
    </row>
    <row r="151" spans="1:39" x14ac:dyDescent="0.2">
      <c r="A151" s="652"/>
      <c r="B151" s="652"/>
      <c r="C151" s="652"/>
      <c r="D151" s="652"/>
      <c r="E151" s="652"/>
      <c r="F151" s="652"/>
      <c r="G151" s="652"/>
      <c r="H151" s="652"/>
      <c r="I151" s="652"/>
      <c r="J151" s="652"/>
      <c r="K151" s="652"/>
      <c r="L151" s="657"/>
      <c r="M151" s="657"/>
      <c r="N151" s="657"/>
      <c r="O151" s="652"/>
      <c r="P151" s="652"/>
      <c r="Q151" s="652"/>
      <c r="R151" s="652"/>
      <c r="S151" s="652"/>
      <c r="T151" s="657"/>
      <c r="U151" s="657"/>
      <c r="V151" s="657"/>
      <c r="W151" s="652"/>
      <c r="X151" s="652"/>
      <c r="Y151" s="652"/>
      <c r="Z151" s="652"/>
      <c r="AA151" s="652"/>
      <c r="AB151" s="652"/>
      <c r="AC151" s="652"/>
      <c r="AD151" s="652"/>
      <c r="AE151" s="652"/>
      <c r="AF151" s="652"/>
      <c r="AG151" s="652"/>
      <c r="AH151" s="652"/>
      <c r="AI151" s="652"/>
      <c r="AJ151" s="652"/>
      <c r="AK151" s="652"/>
      <c r="AL151" s="652"/>
      <c r="AM151" s="652"/>
    </row>
    <row r="152" spans="1:39" x14ac:dyDescent="0.2">
      <c r="A152" s="652"/>
      <c r="B152" s="652"/>
      <c r="C152" s="652"/>
      <c r="D152" s="652"/>
      <c r="E152" s="652"/>
      <c r="F152" s="652"/>
      <c r="G152" s="652"/>
      <c r="H152" s="652"/>
      <c r="I152" s="652"/>
      <c r="J152" s="652"/>
      <c r="K152" s="652"/>
      <c r="L152" s="657"/>
      <c r="M152" s="657"/>
      <c r="N152" s="657"/>
      <c r="O152" s="652"/>
      <c r="P152" s="652"/>
      <c r="Q152" s="652"/>
      <c r="R152" s="652"/>
      <c r="S152" s="652"/>
      <c r="T152" s="657"/>
      <c r="U152" s="657"/>
      <c r="V152" s="657"/>
      <c r="W152" s="652"/>
      <c r="X152" s="652"/>
      <c r="Y152" s="652"/>
      <c r="Z152" s="652"/>
      <c r="AA152" s="652"/>
      <c r="AB152" s="652"/>
      <c r="AC152" s="652"/>
      <c r="AD152" s="652"/>
      <c r="AE152" s="652"/>
      <c r="AF152" s="652"/>
      <c r="AG152" s="652"/>
      <c r="AH152" s="652"/>
      <c r="AI152" s="652"/>
      <c r="AJ152" s="652"/>
      <c r="AK152" s="652"/>
      <c r="AL152" s="652"/>
      <c r="AM152" s="652"/>
    </row>
    <row r="153" spans="1:39" x14ac:dyDescent="0.2">
      <c r="A153" s="652"/>
      <c r="B153" s="652"/>
      <c r="C153" s="652"/>
      <c r="D153" s="652"/>
      <c r="E153" s="652"/>
      <c r="F153" s="652"/>
      <c r="G153" s="652"/>
      <c r="H153" s="652"/>
      <c r="I153" s="652"/>
      <c r="J153" s="652"/>
      <c r="K153" s="652"/>
      <c r="L153" s="657"/>
      <c r="M153" s="657"/>
      <c r="N153" s="657"/>
      <c r="O153" s="652"/>
      <c r="P153" s="652"/>
      <c r="Q153" s="652"/>
      <c r="R153" s="652"/>
      <c r="S153" s="652"/>
      <c r="T153" s="657"/>
      <c r="U153" s="657"/>
      <c r="V153" s="657"/>
      <c r="W153" s="652"/>
      <c r="X153" s="652"/>
      <c r="Y153" s="652"/>
      <c r="Z153" s="652"/>
      <c r="AA153" s="652"/>
      <c r="AB153" s="652"/>
      <c r="AC153" s="652"/>
      <c r="AD153" s="652"/>
      <c r="AE153" s="652"/>
      <c r="AF153" s="652"/>
      <c r="AG153" s="652"/>
      <c r="AH153" s="652"/>
      <c r="AI153" s="652"/>
      <c r="AJ153" s="652"/>
      <c r="AK153" s="652"/>
      <c r="AL153" s="652"/>
      <c r="AM153" s="652"/>
    </row>
    <row r="154" spans="1:39" x14ac:dyDescent="0.2">
      <c r="A154" s="652"/>
      <c r="B154" s="652"/>
      <c r="C154" s="652"/>
      <c r="D154" s="652"/>
      <c r="E154" s="652"/>
      <c r="F154" s="652"/>
      <c r="G154" s="652"/>
      <c r="H154" s="652"/>
      <c r="I154" s="652"/>
      <c r="J154" s="652"/>
      <c r="K154" s="652"/>
      <c r="L154" s="657"/>
      <c r="M154" s="657"/>
      <c r="N154" s="657"/>
      <c r="O154" s="652"/>
      <c r="P154" s="652"/>
      <c r="Q154" s="652"/>
      <c r="R154" s="652"/>
      <c r="S154" s="652"/>
      <c r="T154" s="657"/>
      <c r="U154" s="657"/>
      <c r="V154" s="657"/>
      <c r="W154" s="652"/>
      <c r="X154" s="652"/>
      <c r="Y154" s="652"/>
      <c r="Z154" s="652"/>
      <c r="AA154" s="652"/>
      <c r="AB154" s="652"/>
      <c r="AC154" s="652"/>
      <c r="AD154" s="652"/>
      <c r="AE154" s="652"/>
      <c r="AF154" s="652"/>
      <c r="AG154" s="652"/>
      <c r="AH154" s="652"/>
      <c r="AI154" s="652"/>
      <c r="AJ154" s="652"/>
      <c r="AK154" s="652"/>
      <c r="AL154" s="652"/>
      <c r="AM154" s="652"/>
    </row>
    <row r="155" spans="1:39" x14ac:dyDescent="0.2">
      <c r="A155" s="652"/>
      <c r="B155" s="652"/>
      <c r="C155" s="652"/>
      <c r="D155" s="652"/>
      <c r="E155" s="652"/>
      <c r="F155" s="652"/>
      <c r="G155" s="652"/>
      <c r="H155" s="652"/>
      <c r="I155" s="652"/>
      <c r="J155" s="652"/>
      <c r="K155" s="652"/>
      <c r="L155" s="657"/>
      <c r="M155" s="657"/>
      <c r="N155" s="657"/>
      <c r="O155" s="652"/>
      <c r="P155" s="652"/>
      <c r="Q155" s="652"/>
      <c r="R155" s="652"/>
      <c r="S155" s="652"/>
      <c r="T155" s="657"/>
      <c r="U155" s="657"/>
      <c r="V155" s="657"/>
      <c r="W155" s="652"/>
      <c r="X155" s="652"/>
      <c r="Y155" s="652"/>
      <c r="Z155" s="652"/>
      <c r="AA155" s="652"/>
      <c r="AB155" s="652"/>
      <c r="AC155" s="652"/>
      <c r="AD155" s="652"/>
      <c r="AE155" s="652"/>
      <c r="AF155" s="652"/>
      <c r="AG155" s="652"/>
      <c r="AH155" s="652"/>
      <c r="AI155" s="652"/>
      <c r="AJ155" s="652"/>
      <c r="AK155" s="652"/>
      <c r="AL155" s="652"/>
      <c r="AM155" s="652"/>
    </row>
    <row r="156" spans="1:39" x14ac:dyDescent="0.2">
      <c r="A156" s="652"/>
      <c r="B156" s="652"/>
      <c r="C156" s="652"/>
      <c r="D156" s="652"/>
      <c r="E156" s="652"/>
      <c r="F156" s="652"/>
      <c r="G156" s="652"/>
      <c r="H156" s="652"/>
      <c r="I156" s="652"/>
      <c r="J156" s="652"/>
      <c r="K156" s="652"/>
      <c r="L156" s="657"/>
      <c r="M156" s="657"/>
      <c r="N156" s="657"/>
      <c r="O156" s="652"/>
      <c r="P156" s="652"/>
      <c r="Q156" s="652"/>
      <c r="R156" s="652"/>
      <c r="S156" s="652"/>
      <c r="T156" s="657"/>
      <c r="U156" s="657"/>
      <c r="V156" s="657"/>
      <c r="W156" s="652"/>
      <c r="X156" s="652"/>
      <c r="Y156" s="652"/>
      <c r="Z156" s="652"/>
      <c r="AA156" s="652"/>
      <c r="AB156" s="652"/>
      <c r="AC156" s="652"/>
      <c r="AD156" s="652"/>
      <c r="AE156" s="652"/>
      <c r="AF156" s="652"/>
      <c r="AG156" s="652"/>
      <c r="AH156" s="652"/>
      <c r="AI156" s="652"/>
      <c r="AJ156" s="652"/>
      <c r="AK156" s="652"/>
      <c r="AL156" s="652"/>
      <c r="AM156" s="652"/>
    </row>
    <row r="157" spans="1:39" x14ac:dyDescent="0.2">
      <c r="A157" s="652"/>
      <c r="B157" s="652"/>
      <c r="C157" s="652"/>
      <c r="D157" s="652"/>
      <c r="E157" s="652"/>
      <c r="F157" s="652"/>
      <c r="G157" s="652"/>
      <c r="H157" s="652"/>
      <c r="I157" s="652"/>
      <c r="J157" s="652"/>
      <c r="K157" s="652"/>
      <c r="L157" s="657"/>
      <c r="M157" s="657"/>
      <c r="N157" s="657"/>
      <c r="O157" s="652"/>
      <c r="P157" s="652"/>
      <c r="Q157" s="652"/>
      <c r="R157" s="652"/>
      <c r="S157" s="652"/>
      <c r="T157" s="657"/>
      <c r="U157" s="657"/>
      <c r="V157" s="657"/>
      <c r="W157" s="652"/>
      <c r="X157" s="652"/>
      <c r="Y157" s="652"/>
      <c r="Z157" s="652"/>
      <c r="AA157" s="652"/>
      <c r="AB157" s="652"/>
      <c r="AC157" s="652"/>
      <c r="AD157" s="652"/>
      <c r="AE157" s="652"/>
      <c r="AF157" s="652"/>
      <c r="AG157" s="652"/>
      <c r="AH157" s="652"/>
      <c r="AI157" s="652"/>
      <c r="AJ157" s="652"/>
      <c r="AK157" s="652"/>
      <c r="AL157" s="652"/>
      <c r="AM157" s="652"/>
    </row>
    <row r="158" spans="1:39" x14ac:dyDescent="0.2">
      <c r="A158" s="652"/>
      <c r="B158" s="652"/>
      <c r="C158" s="652"/>
      <c r="D158" s="652"/>
      <c r="E158" s="652"/>
      <c r="F158" s="652"/>
      <c r="G158" s="652"/>
      <c r="H158" s="652"/>
      <c r="I158" s="652"/>
      <c r="J158" s="652"/>
      <c r="K158" s="652"/>
      <c r="L158" s="657"/>
      <c r="M158" s="657"/>
      <c r="N158" s="657"/>
      <c r="O158" s="652"/>
      <c r="P158" s="652"/>
      <c r="Q158" s="652"/>
      <c r="R158" s="652"/>
      <c r="S158" s="652"/>
      <c r="T158" s="657"/>
      <c r="U158" s="657"/>
      <c r="V158" s="657"/>
      <c r="W158" s="652"/>
      <c r="X158" s="652"/>
      <c r="Y158" s="652"/>
      <c r="Z158" s="652"/>
      <c r="AA158" s="652"/>
      <c r="AB158" s="652"/>
      <c r="AC158" s="652"/>
      <c r="AD158" s="652"/>
      <c r="AE158" s="652"/>
      <c r="AF158" s="652"/>
      <c r="AG158" s="652"/>
      <c r="AH158" s="652"/>
      <c r="AI158" s="652"/>
      <c r="AJ158" s="652"/>
      <c r="AK158" s="652"/>
      <c r="AL158" s="652"/>
      <c r="AM158" s="652"/>
    </row>
    <row r="159" spans="1:39" x14ac:dyDescent="0.2">
      <c r="A159" s="652"/>
      <c r="B159" s="652"/>
      <c r="C159" s="652"/>
      <c r="D159" s="652"/>
      <c r="E159" s="652"/>
      <c r="F159" s="652"/>
      <c r="G159" s="652"/>
      <c r="H159" s="652"/>
      <c r="I159" s="652"/>
      <c r="J159" s="652"/>
      <c r="K159" s="652"/>
      <c r="L159" s="657"/>
      <c r="M159" s="657"/>
      <c r="N159" s="657"/>
      <c r="O159" s="652"/>
      <c r="P159" s="652"/>
      <c r="Q159" s="652"/>
      <c r="R159" s="652"/>
      <c r="S159" s="652"/>
      <c r="T159" s="657"/>
      <c r="U159" s="657"/>
      <c r="V159" s="657"/>
      <c r="W159" s="652"/>
      <c r="X159" s="652"/>
      <c r="Y159" s="652"/>
      <c r="Z159" s="652"/>
      <c r="AA159" s="652"/>
      <c r="AB159" s="652"/>
      <c r="AC159" s="652"/>
      <c r="AD159" s="652"/>
      <c r="AE159" s="652"/>
      <c r="AF159" s="652"/>
      <c r="AG159" s="652"/>
      <c r="AH159" s="652"/>
      <c r="AI159" s="652"/>
      <c r="AJ159" s="652"/>
      <c r="AK159" s="652"/>
      <c r="AL159" s="652"/>
      <c r="AM159" s="652"/>
    </row>
    <row r="160" spans="1:39" x14ac:dyDescent="0.2">
      <c r="A160" s="652"/>
      <c r="B160" s="652"/>
      <c r="C160" s="652"/>
      <c r="D160" s="652"/>
      <c r="E160" s="652"/>
      <c r="F160" s="652"/>
      <c r="G160" s="652"/>
      <c r="H160" s="652"/>
      <c r="I160" s="652"/>
      <c r="J160" s="652"/>
      <c r="K160" s="652"/>
      <c r="L160" s="657"/>
      <c r="M160" s="657"/>
      <c r="N160" s="657"/>
      <c r="O160" s="652"/>
      <c r="P160" s="652"/>
      <c r="Q160" s="652"/>
      <c r="R160" s="652"/>
      <c r="S160" s="652"/>
      <c r="T160" s="657"/>
      <c r="U160" s="657"/>
      <c r="V160" s="657"/>
      <c r="W160" s="652"/>
      <c r="X160" s="652"/>
      <c r="Y160" s="652"/>
      <c r="Z160" s="652"/>
      <c r="AA160" s="652"/>
      <c r="AB160" s="652"/>
      <c r="AC160" s="652"/>
      <c r="AD160" s="652"/>
      <c r="AE160" s="652"/>
      <c r="AF160" s="652"/>
      <c r="AG160" s="652"/>
      <c r="AH160" s="652"/>
      <c r="AI160" s="652"/>
      <c r="AJ160" s="652"/>
      <c r="AK160" s="652"/>
      <c r="AL160" s="652"/>
      <c r="AM160" s="652"/>
    </row>
    <row r="161" spans="1:39" x14ac:dyDescent="0.2">
      <c r="A161" s="652"/>
      <c r="B161" s="652"/>
      <c r="C161" s="652"/>
      <c r="D161" s="652"/>
      <c r="E161" s="652"/>
      <c r="F161" s="652"/>
      <c r="G161" s="652"/>
      <c r="H161" s="652"/>
      <c r="I161" s="652"/>
      <c r="J161" s="652"/>
      <c r="K161" s="652"/>
      <c r="L161" s="657"/>
      <c r="M161" s="657"/>
      <c r="N161" s="657"/>
      <c r="O161" s="652"/>
      <c r="P161" s="652"/>
      <c r="Q161" s="652"/>
      <c r="R161" s="652"/>
      <c r="S161" s="652"/>
      <c r="T161" s="657"/>
      <c r="U161" s="657"/>
      <c r="V161" s="657"/>
      <c r="W161" s="652"/>
      <c r="X161" s="652"/>
      <c r="Y161" s="652"/>
      <c r="Z161" s="652"/>
      <c r="AA161" s="652"/>
      <c r="AB161" s="652"/>
      <c r="AC161" s="652"/>
      <c r="AD161" s="652"/>
      <c r="AE161" s="652"/>
      <c r="AF161" s="652"/>
      <c r="AG161" s="652"/>
      <c r="AH161" s="652"/>
      <c r="AI161" s="652"/>
      <c r="AJ161" s="652"/>
      <c r="AK161" s="652"/>
      <c r="AL161" s="652"/>
      <c r="AM161" s="652"/>
    </row>
    <row r="162" spans="1:39" x14ac:dyDescent="0.2">
      <c r="A162" s="652"/>
      <c r="B162" s="652"/>
      <c r="C162" s="652"/>
      <c r="D162" s="652"/>
      <c r="E162" s="652"/>
      <c r="F162" s="652"/>
      <c r="G162" s="652"/>
      <c r="H162" s="652"/>
      <c r="I162" s="652"/>
      <c r="J162" s="652"/>
      <c r="K162" s="652"/>
      <c r="L162" s="657"/>
      <c r="M162" s="657"/>
      <c r="N162" s="657"/>
      <c r="O162" s="652"/>
      <c r="P162" s="652"/>
      <c r="Q162" s="652"/>
      <c r="R162" s="652"/>
      <c r="S162" s="652"/>
      <c r="T162" s="657"/>
      <c r="U162" s="657"/>
      <c r="V162" s="657"/>
      <c r="W162" s="652"/>
      <c r="X162" s="652"/>
      <c r="Y162" s="652"/>
      <c r="Z162" s="652"/>
      <c r="AA162" s="652"/>
      <c r="AB162" s="652"/>
      <c r="AC162" s="652"/>
      <c r="AD162" s="652"/>
      <c r="AE162" s="652"/>
      <c r="AF162" s="652"/>
      <c r="AG162" s="652"/>
      <c r="AH162" s="652"/>
      <c r="AI162" s="652"/>
      <c r="AJ162" s="652"/>
      <c r="AK162" s="652"/>
      <c r="AL162" s="652"/>
      <c r="AM162" s="652"/>
    </row>
    <row r="163" spans="1:39" x14ac:dyDescent="0.2">
      <c r="A163" s="652"/>
      <c r="B163" s="652"/>
      <c r="C163" s="652"/>
      <c r="D163" s="652"/>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52"/>
      <c r="AE163" s="652"/>
      <c r="AF163" s="652"/>
      <c r="AG163" s="652"/>
      <c r="AH163" s="652"/>
      <c r="AI163" s="652"/>
      <c r="AJ163" s="652"/>
      <c r="AK163" s="652"/>
      <c r="AL163" s="652"/>
      <c r="AM163" s="652"/>
    </row>
    <row r="164" spans="1:39" x14ac:dyDescent="0.2">
      <c r="A164" s="652"/>
      <c r="B164" s="652"/>
      <c r="C164" s="652"/>
      <c r="D164" s="652"/>
      <c r="E164" s="652"/>
      <c r="F164" s="652"/>
      <c r="G164" s="652"/>
      <c r="H164" s="652"/>
      <c r="I164" s="652"/>
      <c r="J164" s="652"/>
      <c r="K164" s="652"/>
      <c r="L164" s="652"/>
      <c r="M164" s="652"/>
      <c r="N164" s="652"/>
      <c r="O164" s="652"/>
      <c r="P164" s="652"/>
      <c r="Q164" s="652"/>
      <c r="R164" s="652"/>
      <c r="S164" s="652"/>
      <c r="T164" s="652"/>
      <c r="U164" s="652"/>
      <c r="V164" s="652"/>
      <c r="W164" s="652"/>
      <c r="X164" s="652"/>
      <c r="Y164" s="652"/>
      <c r="Z164" s="652"/>
      <c r="AA164" s="652"/>
      <c r="AB164" s="652"/>
      <c r="AC164" s="652"/>
      <c r="AD164" s="652"/>
      <c r="AE164" s="652"/>
      <c r="AF164" s="652"/>
      <c r="AG164" s="652"/>
      <c r="AH164" s="652"/>
      <c r="AI164" s="652"/>
      <c r="AJ164" s="652"/>
      <c r="AK164" s="652"/>
      <c r="AL164" s="652"/>
      <c r="AM164" s="652"/>
    </row>
    <row r="165" spans="1:39" x14ac:dyDescent="0.2">
      <c r="A165" s="652"/>
      <c r="B165" s="652"/>
      <c r="C165" s="652"/>
      <c r="D165" s="652"/>
      <c r="E165" s="652"/>
      <c r="F165" s="652"/>
      <c r="G165" s="652"/>
      <c r="H165" s="652"/>
      <c r="I165" s="652"/>
      <c r="J165" s="652"/>
      <c r="K165" s="652"/>
      <c r="L165" s="652"/>
      <c r="M165" s="652"/>
      <c r="N165" s="652"/>
      <c r="O165" s="652"/>
      <c r="P165" s="652"/>
      <c r="Q165" s="652"/>
      <c r="R165" s="652"/>
      <c r="S165" s="652"/>
      <c r="T165" s="652"/>
      <c r="U165" s="652"/>
      <c r="V165" s="652"/>
      <c r="W165" s="652"/>
      <c r="X165" s="652"/>
      <c r="Y165" s="652"/>
      <c r="Z165" s="652"/>
      <c r="AA165" s="652"/>
      <c r="AB165" s="652"/>
      <c r="AC165" s="652"/>
      <c r="AD165" s="652"/>
      <c r="AE165" s="652"/>
      <c r="AF165" s="652"/>
      <c r="AG165" s="652"/>
      <c r="AH165" s="652"/>
      <c r="AI165" s="652"/>
      <c r="AJ165" s="652"/>
      <c r="AK165" s="652"/>
      <c r="AL165" s="652"/>
      <c r="AM165" s="652"/>
    </row>
    <row r="166" spans="1:39" x14ac:dyDescent="0.2">
      <c r="A166" s="652"/>
      <c r="B166" s="652"/>
      <c r="C166" s="652"/>
      <c r="D166" s="652"/>
      <c r="E166" s="652"/>
      <c r="F166" s="652"/>
      <c r="G166" s="652"/>
      <c r="H166" s="652"/>
      <c r="I166" s="652"/>
      <c r="J166" s="652"/>
      <c r="K166" s="652"/>
      <c r="L166" s="652"/>
      <c r="M166" s="652"/>
      <c r="N166" s="652"/>
      <c r="O166" s="652"/>
      <c r="P166" s="652"/>
      <c r="Q166" s="652"/>
      <c r="R166" s="652"/>
      <c r="S166" s="652"/>
      <c r="T166" s="652"/>
      <c r="U166" s="652"/>
      <c r="V166" s="652"/>
      <c r="W166" s="652"/>
      <c r="X166" s="652"/>
      <c r="Y166" s="652"/>
      <c r="Z166" s="652"/>
      <c r="AA166" s="652"/>
      <c r="AB166" s="652"/>
      <c r="AC166" s="652"/>
      <c r="AD166" s="652"/>
      <c r="AE166" s="652"/>
      <c r="AF166" s="652"/>
      <c r="AG166" s="652"/>
      <c r="AH166" s="652"/>
      <c r="AI166" s="652"/>
      <c r="AJ166" s="652"/>
      <c r="AK166" s="652"/>
      <c r="AL166" s="652"/>
      <c r="AM166" s="652"/>
    </row>
    <row r="167" spans="1:39" x14ac:dyDescent="0.2">
      <c r="A167" s="652"/>
      <c r="B167" s="652"/>
      <c r="C167" s="652"/>
      <c r="D167" s="652"/>
      <c r="E167" s="652"/>
      <c r="F167" s="652"/>
      <c r="G167" s="652"/>
      <c r="H167" s="652"/>
      <c r="I167" s="652"/>
      <c r="J167" s="652"/>
      <c r="K167" s="652"/>
      <c r="L167" s="652"/>
      <c r="M167" s="652"/>
      <c r="N167" s="652"/>
      <c r="O167" s="652"/>
      <c r="P167" s="652"/>
      <c r="Q167" s="652"/>
      <c r="R167" s="652"/>
      <c r="S167" s="652"/>
      <c r="T167" s="652"/>
      <c r="U167" s="652"/>
      <c r="V167" s="652"/>
      <c r="W167" s="652"/>
      <c r="X167" s="652"/>
      <c r="Y167" s="652"/>
      <c r="Z167" s="652"/>
      <c r="AA167" s="652"/>
      <c r="AB167" s="652"/>
      <c r="AC167" s="652"/>
      <c r="AD167" s="652"/>
      <c r="AE167" s="652"/>
      <c r="AF167" s="652"/>
      <c r="AG167" s="652"/>
      <c r="AH167" s="652"/>
      <c r="AI167" s="652"/>
      <c r="AJ167" s="652"/>
      <c r="AK167" s="652"/>
      <c r="AL167" s="652"/>
      <c r="AM167" s="652"/>
    </row>
    <row r="168" spans="1:39" x14ac:dyDescent="0.2">
      <c r="A168" s="652"/>
      <c r="B168" s="652"/>
      <c r="C168" s="652"/>
      <c r="D168" s="652"/>
      <c r="E168" s="652"/>
      <c r="F168" s="652"/>
      <c r="G168" s="652"/>
      <c r="H168" s="652"/>
      <c r="I168" s="652"/>
      <c r="J168" s="652"/>
      <c r="K168" s="652"/>
      <c r="L168" s="652"/>
      <c r="M168" s="652"/>
      <c r="N168" s="652"/>
      <c r="O168" s="652"/>
      <c r="P168" s="652"/>
      <c r="Q168" s="652"/>
      <c r="R168" s="652"/>
      <c r="S168" s="652"/>
      <c r="T168" s="652"/>
      <c r="U168" s="652"/>
      <c r="V168" s="652"/>
      <c r="W168" s="652"/>
      <c r="X168" s="652"/>
      <c r="Y168" s="652"/>
      <c r="Z168" s="652"/>
      <c r="AA168" s="652"/>
      <c r="AB168" s="652"/>
      <c r="AC168" s="652"/>
      <c r="AD168" s="652"/>
      <c r="AE168" s="652"/>
      <c r="AF168" s="652"/>
      <c r="AG168" s="652"/>
      <c r="AH168" s="652"/>
      <c r="AI168" s="652"/>
      <c r="AJ168" s="652"/>
      <c r="AK168" s="652"/>
      <c r="AL168" s="652"/>
      <c r="AM168" s="652"/>
    </row>
    <row r="169" spans="1:39" x14ac:dyDescent="0.2">
      <c r="A169" s="652"/>
      <c r="B169" s="652"/>
      <c r="C169" s="652"/>
      <c r="D169" s="652"/>
      <c r="E169" s="652"/>
      <c r="F169" s="652"/>
      <c r="G169" s="652"/>
      <c r="H169" s="652"/>
      <c r="I169" s="652"/>
      <c r="J169" s="652"/>
      <c r="K169" s="652"/>
      <c r="L169" s="652"/>
      <c r="M169" s="652"/>
      <c r="N169" s="652"/>
      <c r="O169" s="652"/>
      <c r="P169" s="652"/>
      <c r="Q169" s="652"/>
      <c r="R169" s="652"/>
      <c r="S169" s="652"/>
      <c r="T169" s="652"/>
      <c r="U169" s="652"/>
      <c r="V169" s="652"/>
      <c r="W169" s="652"/>
      <c r="X169" s="652"/>
      <c r="Y169" s="652"/>
      <c r="Z169" s="652"/>
      <c r="AA169" s="652"/>
      <c r="AB169" s="652"/>
      <c r="AC169" s="652"/>
      <c r="AD169" s="652"/>
      <c r="AE169" s="652"/>
      <c r="AF169" s="652"/>
      <c r="AG169" s="652"/>
      <c r="AH169" s="652"/>
      <c r="AI169" s="652"/>
      <c r="AJ169" s="652"/>
      <c r="AK169" s="652"/>
      <c r="AL169" s="652"/>
      <c r="AM169" s="652"/>
    </row>
    <row r="170" spans="1:39" x14ac:dyDescent="0.2">
      <c r="A170" s="652"/>
      <c r="B170" s="652"/>
      <c r="C170" s="652"/>
      <c r="D170" s="652"/>
      <c r="E170" s="652"/>
      <c r="F170" s="652"/>
      <c r="G170" s="652"/>
      <c r="H170" s="652"/>
      <c r="I170" s="652"/>
      <c r="J170" s="652"/>
      <c r="K170" s="652"/>
      <c r="L170" s="652"/>
      <c r="M170" s="652"/>
      <c r="N170" s="652"/>
      <c r="O170" s="652"/>
      <c r="P170" s="652"/>
      <c r="Q170" s="652"/>
      <c r="R170" s="652"/>
      <c r="S170" s="652"/>
      <c r="T170" s="652"/>
      <c r="U170" s="652"/>
      <c r="V170" s="652"/>
      <c r="W170" s="652"/>
      <c r="X170" s="652"/>
      <c r="Y170" s="652"/>
      <c r="Z170" s="652"/>
      <c r="AA170" s="652"/>
      <c r="AB170" s="652"/>
      <c r="AC170" s="652"/>
      <c r="AD170" s="652"/>
      <c r="AE170" s="652"/>
      <c r="AF170" s="652"/>
      <c r="AG170" s="652"/>
      <c r="AH170" s="652"/>
      <c r="AI170" s="652"/>
      <c r="AJ170" s="652"/>
      <c r="AK170" s="652"/>
      <c r="AL170" s="652"/>
      <c r="AM170" s="652"/>
    </row>
    <row r="171" spans="1:39" x14ac:dyDescent="0.2">
      <c r="A171" s="652"/>
      <c r="B171" s="652"/>
      <c r="C171" s="652"/>
      <c r="D171" s="652"/>
      <c r="E171" s="652"/>
      <c r="F171" s="652"/>
      <c r="G171" s="652"/>
      <c r="H171" s="652"/>
      <c r="I171" s="652"/>
      <c r="J171" s="652"/>
      <c r="K171" s="652"/>
      <c r="L171" s="652"/>
      <c r="M171" s="652"/>
      <c r="N171" s="652"/>
      <c r="O171" s="652"/>
      <c r="P171" s="652"/>
      <c r="Q171" s="652"/>
      <c r="R171" s="652"/>
      <c r="S171" s="652"/>
      <c r="T171" s="652"/>
      <c r="U171" s="652"/>
      <c r="V171" s="652"/>
      <c r="W171" s="652"/>
      <c r="X171" s="652"/>
      <c r="Y171" s="652"/>
      <c r="Z171" s="652"/>
      <c r="AA171" s="652"/>
      <c r="AB171" s="652"/>
      <c r="AC171" s="652"/>
      <c r="AD171" s="652"/>
      <c r="AE171" s="652"/>
      <c r="AF171" s="652"/>
      <c r="AG171" s="652"/>
      <c r="AH171" s="652"/>
      <c r="AI171" s="652"/>
      <c r="AJ171" s="652"/>
      <c r="AK171" s="652"/>
      <c r="AL171" s="652"/>
      <c r="AM171" s="652"/>
    </row>
    <row r="172" spans="1:39" x14ac:dyDescent="0.2">
      <c r="A172" s="652"/>
      <c r="B172" s="652"/>
      <c r="C172" s="652"/>
      <c r="D172" s="652"/>
      <c r="E172" s="652"/>
      <c r="F172" s="652"/>
      <c r="G172" s="652"/>
      <c r="H172" s="652"/>
      <c r="I172" s="652"/>
      <c r="J172" s="652"/>
      <c r="K172" s="652"/>
      <c r="L172" s="652"/>
      <c r="M172" s="652"/>
      <c r="N172" s="652"/>
      <c r="O172" s="652"/>
      <c r="P172" s="652"/>
      <c r="Q172" s="652"/>
      <c r="R172" s="652"/>
      <c r="S172" s="652"/>
      <c r="T172" s="652"/>
      <c r="U172" s="652"/>
      <c r="V172" s="652"/>
      <c r="W172" s="652"/>
      <c r="X172" s="652"/>
      <c r="Y172" s="652"/>
      <c r="Z172" s="652"/>
      <c r="AA172" s="652"/>
      <c r="AB172" s="652"/>
      <c r="AC172" s="652"/>
      <c r="AD172" s="652"/>
      <c r="AE172" s="652"/>
      <c r="AF172" s="652"/>
      <c r="AG172" s="652"/>
      <c r="AH172" s="652"/>
      <c r="AI172" s="652"/>
      <c r="AJ172" s="652"/>
      <c r="AK172" s="652"/>
      <c r="AL172" s="652"/>
      <c r="AM172" s="652"/>
    </row>
    <row r="173" spans="1:39" x14ac:dyDescent="0.2">
      <c r="A173" s="652"/>
      <c r="B173" s="652"/>
      <c r="C173" s="652"/>
      <c r="D173" s="652"/>
      <c r="E173" s="652"/>
      <c r="F173" s="652"/>
      <c r="G173" s="652"/>
      <c r="H173" s="652"/>
      <c r="I173" s="652"/>
      <c r="J173" s="652"/>
      <c r="K173" s="652"/>
      <c r="L173" s="652"/>
      <c r="M173" s="652"/>
      <c r="N173" s="652"/>
      <c r="O173" s="652"/>
      <c r="P173" s="652"/>
      <c r="Q173" s="652"/>
      <c r="R173" s="652"/>
      <c r="S173" s="652"/>
      <c r="T173" s="652"/>
      <c r="U173" s="652"/>
      <c r="V173" s="652"/>
      <c r="W173" s="652"/>
      <c r="X173" s="652"/>
      <c r="Y173" s="652"/>
      <c r="Z173" s="652"/>
      <c r="AA173" s="652"/>
      <c r="AB173" s="652"/>
      <c r="AC173" s="652"/>
      <c r="AD173" s="652"/>
      <c r="AE173" s="652"/>
      <c r="AF173" s="652"/>
      <c r="AG173" s="652"/>
      <c r="AH173" s="652"/>
      <c r="AI173" s="652"/>
      <c r="AJ173" s="652"/>
      <c r="AK173" s="652"/>
      <c r="AL173" s="652"/>
      <c r="AM173" s="652"/>
    </row>
    <row r="174" spans="1:39" x14ac:dyDescent="0.2">
      <c r="A174" s="652"/>
      <c r="B174" s="652"/>
      <c r="C174" s="652"/>
      <c r="D174" s="652"/>
      <c r="E174" s="652"/>
      <c r="F174" s="652"/>
      <c r="G174" s="652"/>
      <c r="H174" s="652"/>
      <c r="I174" s="652"/>
      <c r="J174" s="652"/>
      <c r="K174" s="652"/>
      <c r="L174" s="652"/>
      <c r="M174" s="652"/>
      <c r="N174" s="652"/>
      <c r="O174" s="652"/>
      <c r="P174" s="652"/>
      <c r="Q174" s="652"/>
      <c r="R174" s="652"/>
      <c r="S174" s="652"/>
      <c r="T174" s="652"/>
      <c r="U174" s="652"/>
      <c r="V174" s="652"/>
      <c r="W174" s="652"/>
      <c r="X174" s="652"/>
      <c r="Y174" s="652"/>
      <c r="Z174" s="652"/>
      <c r="AA174" s="652"/>
      <c r="AB174" s="652"/>
      <c r="AC174" s="652"/>
      <c r="AD174" s="652"/>
      <c r="AE174" s="652"/>
      <c r="AF174" s="652"/>
      <c r="AG174" s="652"/>
      <c r="AH174" s="652"/>
      <c r="AI174" s="652"/>
      <c r="AJ174" s="652"/>
      <c r="AK174" s="652"/>
      <c r="AL174" s="652"/>
      <c r="AM174" s="652"/>
    </row>
    <row r="175" spans="1:39" x14ac:dyDescent="0.2">
      <c r="A175" s="652"/>
      <c r="B175" s="652"/>
      <c r="C175" s="652"/>
      <c r="D175" s="652"/>
      <c r="E175" s="652"/>
      <c r="F175" s="652"/>
      <c r="G175" s="652"/>
      <c r="H175" s="652"/>
      <c r="I175" s="652"/>
      <c r="J175" s="652"/>
      <c r="K175" s="652"/>
      <c r="L175" s="652"/>
      <c r="M175" s="652"/>
      <c r="N175" s="652"/>
      <c r="O175" s="652"/>
      <c r="P175" s="652"/>
      <c r="Q175" s="652"/>
      <c r="R175" s="652"/>
      <c r="S175" s="652"/>
      <c r="T175" s="652"/>
      <c r="U175" s="652"/>
      <c r="V175" s="652"/>
      <c r="W175" s="652"/>
      <c r="X175" s="652"/>
      <c r="Y175" s="652"/>
      <c r="Z175" s="652"/>
      <c r="AA175" s="652"/>
      <c r="AB175" s="652"/>
      <c r="AC175" s="652"/>
      <c r="AD175" s="652"/>
      <c r="AE175" s="652"/>
      <c r="AF175" s="652"/>
      <c r="AG175" s="652"/>
      <c r="AH175" s="652"/>
      <c r="AI175" s="652"/>
      <c r="AJ175" s="652"/>
      <c r="AK175" s="652"/>
      <c r="AL175" s="652"/>
      <c r="AM175" s="652"/>
    </row>
    <row r="176" spans="1:39"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c r="AI284" s="652"/>
      <c r="AJ284" s="652"/>
      <c r="AK284" s="652"/>
      <c r="AL284" s="652"/>
      <c r="AM284" s="652"/>
    </row>
    <row r="285" spans="1:39"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c r="AH285" s="652"/>
      <c r="AI285" s="652"/>
      <c r="AJ285" s="652"/>
      <c r="AK285" s="652"/>
      <c r="AL285" s="652"/>
      <c r="AM285" s="652"/>
    </row>
    <row r="286" spans="1:39" x14ac:dyDescent="0.2">
      <c r="A286" s="652"/>
      <c r="B286" s="652"/>
      <c r="C286" s="652"/>
      <c r="D286" s="652"/>
      <c r="E286" s="652"/>
      <c r="F286" s="652"/>
      <c r="G286" s="652"/>
      <c r="H286" s="652"/>
      <c r="I286" s="652"/>
      <c r="J286" s="652"/>
      <c r="K286" s="652"/>
      <c r="L286" s="657"/>
      <c r="M286" s="657"/>
      <c r="N286" s="657"/>
      <c r="O286" s="652"/>
      <c r="P286" s="652"/>
      <c r="Q286" s="652"/>
      <c r="R286" s="652"/>
      <c r="S286" s="652"/>
      <c r="T286" s="657"/>
      <c r="U286" s="657"/>
      <c r="V286" s="657"/>
      <c r="W286" s="652"/>
      <c r="X286" s="652"/>
      <c r="Y286" s="652"/>
      <c r="Z286" s="652"/>
      <c r="AA286" s="652"/>
      <c r="AB286" s="652"/>
      <c r="AC286" s="652"/>
      <c r="AD286" s="652"/>
      <c r="AE286" s="652"/>
      <c r="AF286" s="652"/>
      <c r="AG286" s="652"/>
      <c r="AH286" s="652"/>
      <c r="AI286" s="652"/>
      <c r="AJ286" s="652"/>
      <c r="AK286" s="652"/>
      <c r="AL286" s="652"/>
      <c r="AM286" s="652"/>
    </row>
    <row r="287" spans="1:39" x14ac:dyDescent="0.2">
      <c r="A287" s="652"/>
      <c r="B287" s="652"/>
      <c r="C287" s="652"/>
      <c r="D287" s="652"/>
      <c r="E287" s="652"/>
      <c r="F287" s="652"/>
      <c r="G287" s="652"/>
      <c r="H287" s="652"/>
      <c r="I287" s="652"/>
      <c r="J287" s="652"/>
      <c r="K287" s="652"/>
      <c r="L287" s="657"/>
      <c r="M287" s="657"/>
      <c r="N287" s="657"/>
      <c r="O287" s="652"/>
      <c r="P287" s="652"/>
      <c r="Q287" s="652"/>
      <c r="R287" s="652"/>
      <c r="S287" s="652"/>
      <c r="T287" s="657"/>
      <c r="U287" s="657"/>
      <c r="V287" s="657"/>
      <c r="W287" s="652"/>
      <c r="X287" s="652"/>
      <c r="Y287" s="652"/>
      <c r="Z287" s="652"/>
      <c r="AA287" s="652"/>
      <c r="AB287" s="652"/>
      <c r="AC287" s="652"/>
      <c r="AD287" s="652"/>
      <c r="AE287" s="652"/>
      <c r="AF287" s="652"/>
      <c r="AG287" s="652"/>
      <c r="AH287" s="652"/>
      <c r="AI287" s="652"/>
      <c r="AJ287" s="652"/>
      <c r="AK287" s="652"/>
      <c r="AL287" s="652"/>
      <c r="AM287" s="652"/>
    </row>
    <row r="288" spans="1:39" x14ac:dyDescent="0.2">
      <c r="A288" s="652"/>
      <c r="B288" s="652"/>
      <c r="C288" s="652"/>
      <c r="D288" s="652"/>
      <c r="E288" s="652"/>
      <c r="F288" s="652"/>
      <c r="G288" s="652"/>
      <c r="H288" s="652"/>
      <c r="I288" s="652"/>
      <c r="J288" s="652"/>
      <c r="K288" s="652"/>
      <c r="L288" s="657"/>
      <c r="M288" s="657"/>
      <c r="N288" s="657"/>
      <c r="O288" s="652"/>
      <c r="P288" s="652"/>
      <c r="Q288" s="652"/>
      <c r="R288" s="652"/>
      <c r="S288" s="652"/>
      <c r="T288" s="657"/>
      <c r="U288" s="657"/>
      <c r="V288" s="657"/>
      <c r="W288" s="652"/>
      <c r="X288" s="652"/>
      <c r="Y288" s="652"/>
      <c r="Z288" s="652"/>
      <c r="AA288" s="652"/>
      <c r="AB288" s="652"/>
      <c r="AC288" s="652"/>
      <c r="AD288" s="652"/>
      <c r="AE288" s="652"/>
      <c r="AF288" s="652"/>
      <c r="AG288" s="652"/>
      <c r="AH288" s="652"/>
      <c r="AI288" s="652"/>
      <c r="AJ288" s="652"/>
      <c r="AK288" s="652"/>
      <c r="AL288" s="652"/>
      <c r="AM288" s="652"/>
    </row>
    <row r="289" spans="1:39" x14ac:dyDescent="0.2">
      <c r="A289" s="652"/>
      <c r="B289" s="652"/>
      <c r="C289" s="652"/>
      <c r="D289" s="652"/>
      <c r="E289" s="652"/>
      <c r="F289" s="652"/>
      <c r="G289" s="652"/>
      <c r="H289" s="652"/>
      <c r="I289" s="652"/>
      <c r="J289" s="652"/>
      <c r="K289" s="652"/>
      <c r="L289" s="657"/>
      <c r="M289" s="657"/>
      <c r="N289" s="657"/>
      <c r="O289" s="652"/>
      <c r="P289" s="652"/>
      <c r="Q289" s="652"/>
      <c r="R289" s="652"/>
      <c r="S289" s="652"/>
      <c r="T289" s="657"/>
      <c r="U289" s="657"/>
      <c r="V289" s="657"/>
      <c r="W289" s="652"/>
      <c r="X289" s="652"/>
      <c r="Y289" s="652"/>
      <c r="Z289" s="652"/>
      <c r="AA289" s="652"/>
      <c r="AB289" s="652"/>
      <c r="AC289" s="652"/>
      <c r="AD289" s="652"/>
      <c r="AE289" s="652"/>
      <c r="AF289" s="652"/>
      <c r="AG289" s="652"/>
      <c r="AH289" s="652"/>
      <c r="AI289" s="652"/>
      <c r="AJ289" s="652"/>
      <c r="AK289" s="652"/>
      <c r="AL289" s="652"/>
      <c r="AM289" s="652"/>
    </row>
    <row r="290" spans="1:39" x14ac:dyDescent="0.2">
      <c r="A290" s="652"/>
      <c r="B290" s="652"/>
      <c r="C290" s="652"/>
      <c r="D290" s="652"/>
      <c r="E290" s="652"/>
      <c r="F290" s="652"/>
      <c r="G290" s="652"/>
      <c r="H290" s="652"/>
      <c r="I290" s="652"/>
      <c r="J290" s="652"/>
      <c r="K290" s="652"/>
      <c r="L290" s="657"/>
      <c r="M290" s="657"/>
      <c r="N290" s="657"/>
      <c r="O290" s="652"/>
      <c r="P290" s="652"/>
      <c r="Q290" s="652"/>
      <c r="R290" s="652"/>
      <c r="S290" s="652"/>
      <c r="T290" s="657"/>
      <c r="U290" s="657"/>
      <c r="V290" s="657"/>
      <c r="W290" s="652"/>
      <c r="X290" s="652"/>
      <c r="Y290" s="652"/>
      <c r="Z290" s="652"/>
      <c r="AA290" s="652"/>
      <c r="AB290" s="652"/>
      <c r="AC290" s="652"/>
      <c r="AD290" s="652"/>
      <c r="AE290" s="652"/>
      <c r="AF290" s="652"/>
      <c r="AG290" s="652"/>
      <c r="AH290" s="652"/>
      <c r="AI290" s="652"/>
      <c r="AJ290" s="652"/>
      <c r="AK290" s="652"/>
      <c r="AL290" s="652"/>
      <c r="AM290" s="652"/>
    </row>
    <row r="291" spans="1:39" x14ac:dyDescent="0.2">
      <c r="A291" s="652"/>
      <c r="B291" s="652"/>
      <c r="C291" s="652"/>
      <c r="D291" s="652"/>
      <c r="E291" s="652"/>
      <c r="F291" s="652"/>
      <c r="G291" s="652"/>
      <c r="H291" s="652"/>
      <c r="I291" s="652"/>
      <c r="J291" s="652"/>
      <c r="K291" s="652"/>
      <c r="L291" s="657"/>
      <c r="M291" s="657"/>
      <c r="N291" s="657"/>
      <c r="O291" s="652"/>
      <c r="P291" s="652"/>
      <c r="Q291" s="652"/>
      <c r="R291" s="652"/>
      <c r="S291" s="652"/>
      <c r="T291" s="657"/>
      <c r="U291" s="657"/>
      <c r="V291" s="657"/>
      <c r="W291" s="652"/>
      <c r="X291" s="652"/>
      <c r="Y291" s="652"/>
      <c r="Z291" s="652"/>
      <c r="AA291" s="652"/>
      <c r="AB291" s="652"/>
      <c r="AC291" s="652"/>
      <c r="AD291" s="652"/>
      <c r="AE291" s="652"/>
      <c r="AF291" s="652"/>
      <c r="AG291" s="652"/>
      <c r="AH291" s="652"/>
      <c r="AI291" s="652"/>
      <c r="AJ291" s="652"/>
      <c r="AK291" s="652"/>
      <c r="AL291" s="652"/>
      <c r="AM291" s="652"/>
    </row>
    <row r="292" spans="1:39" x14ac:dyDescent="0.2">
      <c r="A292" s="652"/>
      <c r="B292" s="652"/>
      <c r="C292" s="652"/>
      <c r="D292" s="652"/>
      <c r="E292" s="652"/>
      <c r="F292" s="652"/>
      <c r="G292" s="652"/>
      <c r="H292" s="652"/>
      <c r="I292" s="652"/>
      <c r="J292" s="652"/>
      <c r="K292" s="652"/>
      <c r="L292" s="657"/>
      <c r="M292" s="657"/>
      <c r="N292" s="657"/>
      <c r="O292" s="652"/>
      <c r="P292" s="652"/>
      <c r="Q292" s="652"/>
      <c r="R292" s="652"/>
      <c r="S292" s="652"/>
      <c r="T292" s="657"/>
      <c r="U292" s="657"/>
      <c r="V292" s="657"/>
      <c r="W292" s="652"/>
      <c r="X292" s="652"/>
      <c r="Y292" s="652"/>
      <c r="Z292" s="652"/>
      <c r="AA292" s="652"/>
      <c r="AB292" s="652"/>
      <c r="AC292" s="652"/>
      <c r="AD292" s="652"/>
      <c r="AE292" s="652"/>
      <c r="AF292" s="652"/>
      <c r="AG292" s="652"/>
      <c r="AH292" s="652"/>
      <c r="AI292" s="652"/>
      <c r="AJ292" s="652"/>
      <c r="AK292" s="652"/>
      <c r="AL292" s="652"/>
      <c r="AM292" s="652"/>
    </row>
    <row r="293" spans="1:39" x14ac:dyDescent="0.2">
      <c r="A293" s="652"/>
      <c r="B293" s="652"/>
      <c r="C293" s="652"/>
      <c r="D293" s="652"/>
      <c r="E293" s="652"/>
      <c r="F293" s="652"/>
      <c r="G293" s="652"/>
      <c r="H293" s="652"/>
      <c r="I293" s="652"/>
      <c r="J293" s="652"/>
      <c r="K293" s="652"/>
      <c r="L293" s="657"/>
      <c r="M293" s="657"/>
      <c r="N293" s="657"/>
      <c r="O293" s="652"/>
      <c r="P293" s="652"/>
      <c r="Q293" s="652"/>
      <c r="R293" s="652"/>
      <c r="S293" s="652"/>
      <c r="T293" s="657"/>
      <c r="U293" s="657"/>
      <c r="V293" s="657"/>
      <c r="W293" s="652"/>
      <c r="X293" s="652"/>
      <c r="Y293" s="652"/>
      <c r="Z293" s="652"/>
      <c r="AA293" s="652"/>
      <c r="AB293" s="652"/>
      <c r="AC293" s="652"/>
      <c r="AD293" s="652"/>
      <c r="AE293" s="652"/>
      <c r="AF293" s="652"/>
      <c r="AG293" s="652"/>
      <c r="AH293" s="652"/>
      <c r="AI293" s="652"/>
      <c r="AJ293" s="652"/>
      <c r="AK293" s="652"/>
      <c r="AL293" s="652"/>
      <c r="AM293" s="652"/>
    </row>
    <row r="294" spans="1:39" x14ac:dyDescent="0.2">
      <c r="A294" s="652"/>
      <c r="B294" s="652"/>
      <c r="C294" s="652"/>
      <c r="D294" s="652"/>
      <c r="E294" s="652"/>
      <c r="F294" s="652"/>
      <c r="G294" s="652"/>
      <c r="H294" s="652"/>
      <c r="I294" s="652"/>
      <c r="J294" s="652"/>
      <c r="K294" s="652"/>
      <c r="L294" s="657"/>
      <c r="M294" s="657"/>
      <c r="N294" s="657"/>
      <c r="O294" s="652"/>
      <c r="P294" s="652"/>
      <c r="Q294" s="652"/>
      <c r="R294" s="652"/>
      <c r="S294" s="652"/>
      <c r="T294" s="657"/>
      <c r="U294" s="657"/>
      <c r="V294" s="657"/>
      <c r="W294" s="652"/>
      <c r="X294" s="652"/>
      <c r="Y294" s="652"/>
      <c r="Z294" s="652"/>
      <c r="AA294" s="652"/>
      <c r="AB294" s="652"/>
      <c r="AC294" s="652"/>
      <c r="AD294" s="652"/>
      <c r="AE294" s="652"/>
      <c r="AF294" s="652"/>
      <c r="AG294" s="652"/>
      <c r="AH294" s="652"/>
      <c r="AI294" s="652"/>
      <c r="AJ294" s="652"/>
      <c r="AK294" s="652"/>
      <c r="AL294" s="652"/>
      <c r="AM294" s="652"/>
    </row>
    <row r="295" spans="1:39" x14ac:dyDescent="0.2">
      <c r="A295" s="652"/>
      <c r="B295" s="652"/>
      <c r="C295" s="652"/>
      <c r="D295" s="652"/>
      <c r="E295" s="652"/>
      <c r="F295" s="652"/>
      <c r="G295" s="652"/>
      <c r="H295" s="652"/>
      <c r="I295" s="652"/>
      <c r="J295" s="652"/>
      <c r="K295" s="652"/>
      <c r="L295" s="657"/>
      <c r="M295" s="657"/>
      <c r="N295" s="657"/>
      <c r="O295" s="652"/>
      <c r="P295" s="652"/>
      <c r="Q295" s="652"/>
      <c r="R295" s="652"/>
      <c r="S295" s="652"/>
      <c r="T295" s="657"/>
      <c r="U295" s="657"/>
      <c r="V295" s="657"/>
      <c r="W295" s="652"/>
      <c r="X295" s="652"/>
      <c r="Y295" s="652"/>
      <c r="Z295" s="652"/>
      <c r="AA295" s="652"/>
      <c r="AB295" s="652"/>
      <c r="AC295" s="652"/>
      <c r="AD295" s="652"/>
      <c r="AE295" s="652"/>
      <c r="AF295" s="652"/>
      <c r="AG295" s="652"/>
      <c r="AH295" s="652"/>
      <c r="AI295" s="652"/>
      <c r="AJ295" s="652"/>
      <c r="AK295" s="652"/>
      <c r="AL295" s="652"/>
      <c r="AM295" s="652"/>
    </row>
    <row r="296" spans="1:39" x14ac:dyDescent="0.2">
      <c r="A296" s="652"/>
      <c r="B296" s="652"/>
      <c r="C296" s="652"/>
      <c r="D296" s="652"/>
      <c r="E296" s="652"/>
      <c r="F296" s="652"/>
      <c r="G296" s="652"/>
      <c r="H296" s="652"/>
      <c r="I296" s="652"/>
      <c r="J296" s="652"/>
      <c r="K296" s="652"/>
      <c r="L296" s="657"/>
      <c r="M296" s="657"/>
      <c r="N296" s="657"/>
      <c r="O296" s="652"/>
      <c r="P296" s="652"/>
      <c r="Q296" s="652"/>
      <c r="R296" s="652"/>
      <c r="S296" s="652"/>
      <c r="T296" s="657"/>
      <c r="U296" s="657"/>
      <c r="V296" s="657"/>
      <c r="W296" s="652"/>
      <c r="X296" s="652"/>
      <c r="Y296" s="652"/>
      <c r="Z296" s="652"/>
      <c r="AA296" s="652"/>
      <c r="AB296" s="652"/>
      <c r="AC296" s="652"/>
      <c r="AD296" s="652"/>
      <c r="AE296" s="652"/>
      <c r="AF296" s="652"/>
      <c r="AG296" s="652"/>
      <c r="AH296" s="652"/>
      <c r="AI296" s="652"/>
      <c r="AJ296" s="652"/>
      <c r="AK296" s="652"/>
      <c r="AL296" s="652"/>
      <c r="AM296" s="652"/>
    </row>
    <row r="297" spans="1:39" x14ac:dyDescent="0.2">
      <c r="A297" s="652"/>
      <c r="B297" s="652"/>
      <c r="C297" s="652"/>
      <c r="D297" s="652"/>
      <c r="E297" s="652"/>
      <c r="F297" s="652"/>
      <c r="G297" s="652"/>
      <c r="H297" s="652"/>
      <c r="I297" s="652"/>
      <c r="J297" s="652"/>
      <c r="K297" s="652"/>
      <c r="L297" s="657"/>
      <c r="M297" s="657"/>
      <c r="N297" s="657"/>
      <c r="O297" s="652"/>
      <c r="P297" s="652"/>
      <c r="Q297" s="652"/>
      <c r="R297" s="652"/>
      <c r="S297" s="652"/>
      <c r="T297" s="657"/>
      <c r="U297" s="657"/>
      <c r="V297" s="657"/>
      <c r="W297" s="652"/>
      <c r="X297" s="652"/>
      <c r="Y297" s="652"/>
      <c r="Z297" s="652"/>
      <c r="AA297" s="652"/>
      <c r="AB297" s="652"/>
      <c r="AC297" s="652"/>
      <c r="AD297" s="652"/>
      <c r="AE297" s="652"/>
      <c r="AF297" s="652"/>
      <c r="AG297" s="652"/>
      <c r="AH297" s="652"/>
      <c r="AI297" s="652"/>
      <c r="AJ297" s="652"/>
      <c r="AK297" s="652"/>
      <c r="AL297" s="652"/>
      <c r="AM297" s="652"/>
    </row>
    <row r="298" spans="1:39" x14ac:dyDescent="0.2">
      <c r="A298" s="652"/>
      <c r="B298" s="652"/>
      <c r="C298" s="652"/>
      <c r="D298" s="652"/>
      <c r="E298" s="652"/>
      <c r="F298" s="652"/>
      <c r="G298" s="652"/>
      <c r="H298" s="652"/>
      <c r="I298" s="652"/>
      <c r="J298" s="652"/>
      <c r="K298" s="652"/>
      <c r="L298" s="657"/>
      <c r="M298" s="657"/>
      <c r="N298" s="657"/>
      <c r="O298" s="652"/>
      <c r="P298" s="652"/>
      <c r="Q298" s="652"/>
      <c r="R298" s="652"/>
      <c r="S298" s="652"/>
      <c r="T298" s="657"/>
      <c r="U298" s="657"/>
      <c r="V298" s="657"/>
      <c r="W298" s="652"/>
      <c r="X298" s="652"/>
      <c r="Y298" s="652"/>
      <c r="Z298" s="652"/>
      <c r="AA298" s="652"/>
      <c r="AB298" s="652"/>
      <c r="AC298" s="652"/>
      <c r="AD298" s="652"/>
      <c r="AE298" s="652"/>
      <c r="AF298" s="652"/>
      <c r="AG298" s="652"/>
      <c r="AH298" s="652"/>
      <c r="AI298" s="652"/>
      <c r="AJ298" s="652"/>
      <c r="AK298" s="652"/>
      <c r="AL298" s="652"/>
      <c r="AM298" s="652"/>
    </row>
    <row r="299" spans="1:39" x14ac:dyDescent="0.2">
      <c r="A299" s="652"/>
      <c r="B299" s="652"/>
      <c r="C299" s="697" t="s">
        <v>182</v>
      </c>
      <c r="D299" s="698"/>
      <c r="E299" s="698"/>
      <c r="F299" s="652"/>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c r="AH299" s="652"/>
      <c r="AI299" s="652"/>
      <c r="AJ299" s="652"/>
      <c r="AK299" s="652"/>
      <c r="AL299" s="652"/>
      <c r="AM299" s="652"/>
    </row>
    <row r="300" spans="1:39" x14ac:dyDescent="0.2">
      <c r="A300" s="699">
        <v>1</v>
      </c>
      <c r="B300" s="700">
        <f>IFERROR(INDEX(B$1:B$100,MATCH(A300,A$1:A$100,0)),"")</f>
        <v>0</v>
      </c>
      <c r="C300">
        <v>40</v>
      </c>
      <c r="D300" s="702"/>
      <c r="E300" s="702"/>
      <c r="F300" s="652"/>
      <c r="G300" s="652"/>
      <c r="H300" s="652"/>
      <c r="I300" s="652"/>
      <c r="J300" s="652"/>
      <c r="K300" s="652"/>
      <c r="L300" s="652"/>
      <c r="M300" s="652"/>
      <c r="N300" s="652"/>
      <c r="O300" s="652"/>
      <c r="P300" s="652"/>
      <c r="Q300" s="652"/>
      <c r="R300" s="652"/>
      <c r="S300" s="652"/>
      <c r="T300" s="652"/>
      <c r="U300" s="652"/>
      <c r="V300" s="652"/>
      <c r="W300" s="652"/>
      <c r="X300" s="652"/>
      <c r="Y300" s="652"/>
      <c r="Z300" s="652"/>
      <c r="AA300" s="652"/>
      <c r="AB300" s="652"/>
      <c r="AC300" s="652"/>
      <c r="AD300" s="652"/>
      <c r="AE300" s="652"/>
      <c r="AF300" s="652"/>
      <c r="AG300" s="652"/>
      <c r="AH300" s="652"/>
      <c r="AI300" s="652"/>
      <c r="AJ300" s="652"/>
      <c r="AK300" s="652"/>
      <c r="AL300" s="652"/>
      <c r="AM300" s="652"/>
    </row>
    <row r="301" spans="1:39" x14ac:dyDescent="0.2">
      <c r="A301" s="699">
        <v>2</v>
      </c>
      <c r="B301" s="700">
        <f t="shared" ref="B301:B323" si="14">IFERROR(INDEX(B$1:B$100,MATCH(A301,A$1:A$100,0)),"")</f>
        <v>0</v>
      </c>
      <c r="C301">
        <v>34</v>
      </c>
      <c r="D301" s="653"/>
      <c r="E301" s="653"/>
      <c r="F301" s="652"/>
      <c r="G301" s="652"/>
      <c r="H301" s="652"/>
      <c r="I301" s="652"/>
      <c r="J301" s="652"/>
      <c r="K301" s="652"/>
      <c r="L301" s="652"/>
      <c r="M301" s="652"/>
      <c r="N301" s="652"/>
      <c r="O301" s="652"/>
      <c r="P301" s="652"/>
      <c r="Q301" s="652"/>
      <c r="R301" s="652"/>
      <c r="S301" s="652"/>
      <c r="T301" s="652"/>
      <c r="U301" s="652"/>
      <c r="V301" s="652"/>
      <c r="W301" s="703"/>
      <c r="X301" s="652"/>
      <c r="Y301" s="652"/>
      <c r="Z301" s="652"/>
      <c r="AA301" s="652"/>
      <c r="AB301" s="652"/>
      <c r="AC301" s="652"/>
      <c r="AD301" s="652"/>
      <c r="AE301" s="652"/>
      <c r="AF301" s="652"/>
      <c r="AG301" s="652"/>
      <c r="AH301" s="652"/>
      <c r="AI301" s="652"/>
      <c r="AJ301" s="652"/>
      <c r="AK301" s="652"/>
      <c r="AL301" s="652"/>
      <c r="AM301" s="652"/>
    </row>
    <row r="302" spans="1:39" x14ac:dyDescent="0.2">
      <c r="A302" s="699">
        <v>3</v>
      </c>
      <c r="B302" s="700">
        <f t="shared" si="14"/>
        <v>0</v>
      </c>
      <c r="C302">
        <v>30</v>
      </c>
      <c r="D302" s="653"/>
      <c r="E302" s="653"/>
      <c r="F302" s="652"/>
      <c r="G302" s="652"/>
      <c r="H302" s="652"/>
      <c r="I302" s="652"/>
      <c r="J302" s="652"/>
      <c r="K302" s="652"/>
      <c r="L302" s="652"/>
      <c r="M302" s="652"/>
      <c r="N302" s="652"/>
      <c r="O302" s="652"/>
      <c r="P302" s="652"/>
      <c r="Q302" s="652"/>
      <c r="R302" s="652"/>
      <c r="S302" s="652"/>
      <c r="T302" s="652"/>
      <c r="U302" s="652"/>
      <c r="V302" s="652"/>
      <c r="W302" s="652"/>
      <c r="X302" s="652"/>
      <c r="Y302" s="652"/>
      <c r="Z302" s="652"/>
      <c r="AA302" s="652"/>
      <c r="AB302" s="652"/>
      <c r="AC302" s="652"/>
      <c r="AD302" s="652"/>
      <c r="AE302" s="652"/>
      <c r="AF302" s="652"/>
      <c r="AG302" s="652"/>
      <c r="AH302" s="652"/>
      <c r="AI302" s="652"/>
      <c r="AJ302" s="652"/>
      <c r="AK302" s="652"/>
      <c r="AL302" s="652"/>
      <c r="AM302" s="652"/>
    </row>
    <row r="303" spans="1:39" x14ac:dyDescent="0.2">
      <c r="A303" s="699">
        <v>4</v>
      </c>
      <c r="B303" s="700">
        <f t="shared" si="14"/>
        <v>0</v>
      </c>
      <c r="C303">
        <v>26</v>
      </c>
      <c r="D303" s="653"/>
      <c r="E303" s="653"/>
      <c r="F303" s="652"/>
      <c r="G303" s="652"/>
      <c r="H303" s="652"/>
      <c r="I303" s="652"/>
      <c r="J303" s="652"/>
      <c r="K303" s="652"/>
      <c r="L303" s="652"/>
      <c r="M303" s="652"/>
      <c r="N303" s="652"/>
      <c r="O303" s="652"/>
      <c r="P303" s="652"/>
      <c r="Q303" s="652"/>
      <c r="R303" s="652"/>
      <c r="S303" s="652"/>
      <c r="T303" s="652"/>
      <c r="U303" s="652"/>
      <c r="V303" s="652"/>
      <c r="W303" s="652"/>
      <c r="X303" s="652"/>
      <c r="Y303" s="652"/>
      <c r="Z303" s="652"/>
      <c r="AA303" s="652"/>
      <c r="AB303" s="652"/>
      <c r="AC303" s="652"/>
      <c r="AD303" s="652"/>
      <c r="AE303" s="652"/>
      <c r="AF303" s="652"/>
      <c r="AG303" s="652"/>
      <c r="AH303" s="652"/>
      <c r="AI303" s="652"/>
      <c r="AJ303" s="652"/>
      <c r="AK303" s="652"/>
      <c r="AL303" s="652"/>
      <c r="AM303" s="652"/>
    </row>
    <row r="304" spans="1:39" x14ac:dyDescent="0.2">
      <c r="A304" s="699">
        <v>5</v>
      </c>
      <c r="B304" s="700">
        <f t="shared" si="14"/>
        <v>0</v>
      </c>
      <c r="C304">
        <v>24</v>
      </c>
      <c r="D304" s="653"/>
      <c r="E304" s="653"/>
      <c r="F304" s="652"/>
      <c r="G304" s="652"/>
      <c r="H304" s="652"/>
      <c r="I304" s="652"/>
      <c r="J304" s="652"/>
      <c r="K304" s="652"/>
      <c r="L304" s="652"/>
      <c r="M304" s="652"/>
      <c r="N304" s="652"/>
      <c r="O304" s="652"/>
      <c r="P304" s="652"/>
      <c r="Q304" s="652"/>
      <c r="R304" s="652"/>
      <c r="S304" s="652"/>
      <c r="T304" s="652"/>
      <c r="U304" s="652"/>
      <c r="V304" s="652"/>
      <c r="W304" s="652"/>
      <c r="X304" s="652"/>
      <c r="Y304" s="652"/>
      <c r="Z304" s="652"/>
      <c r="AA304" s="652"/>
      <c r="AB304" s="652"/>
      <c r="AC304" s="652"/>
      <c r="AD304" s="652"/>
      <c r="AE304" s="652"/>
      <c r="AF304" s="652"/>
      <c r="AG304" s="652"/>
      <c r="AH304" s="652"/>
      <c r="AI304" s="652"/>
      <c r="AJ304" s="652"/>
      <c r="AK304" s="652"/>
      <c r="AL304" s="652"/>
      <c r="AM304" s="652"/>
    </row>
    <row r="305" spans="1:39" x14ac:dyDescent="0.2">
      <c r="A305" s="699">
        <v>6</v>
      </c>
      <c r="B305" s="700">
        <f t="shared" si="14"/>
        <v>0</v>
      </c>
      <c r="C305">
        <v>22</v>
      </c>
      <c r="D305" s="653"/>
      <c r="E305" s="653"/>
      <c r="F305" s="652"/>
      <c r="G305" s="652"/>
      <c r="H305" s="652"/>
      <c r="I305" s="652"/>
      <c r="J305" s="652"/>
      <c r="K305" s="652"/>
      <c r="L305" s="652"/>
      <c r="M305" s="652"/>
      <c r="N305" s="652"/>
      <c r="O305" s="652"/>
      <c r="P305" s="652"/>
      <c r="Q305" s="652"/>
      <c r="R305" s="652"/>
      <c r="S305" s="652"/>
      <c r="T305" s="652"/>
      <c r="U305" s="652"/>
      <c r="V305" s="652"/>
      <c r="W305" s="652"/>
      <c r="X305" s="652"/>
      <c r="Y305" s="652"/>
      <c r="Z305" s="652"/>
      <c r="AA305" s="652"/>
      <c r="AB305" s="652"/>
      <c r="AC305" s="652"/>
      <c r="AD305" s="652"/>
      <c r="AE305" s="652"/>
      <c r="AF305" s="652"/>
      <c r="AG305" s="652"/>
      <c r="AH305" s="652"/>
      <c r="AI305" s="652"/>
      <c r="AJ305" s="652"/>
      <c r="AK305" s="652"/>
      <c r="AL305" s="652"/>
      <c r="AM305" s="652"/>
    </row>
    <row r="306" spans="1:39" x14ac:dyDescent="0.2">
      <c r="A306" s="699">
        <v>7</v>
      </c>
      <c r="B306" s="700">
        <f t="shared" si="14"/>
        <v>0</v>
      </c>
      <c r="C306" s="711">
        <v>20</v>
      </c>
      <c r="D306" s="653"/>
      <c r="E306" s="653"/>
      <c r="F306" s="652"/>
      <c r="G306" s="652"/>
      <c r="H306" s="652"/>
      <c r="I306" s="652"/>
      <c r="J306" s="652"/>
      <c r="K306" s="652"/>
      <c r="L306" s="652"/>
      <c r="M306" s="652"/>
      <c r="N306" s="652"/>
      <c r="O306" s="652"/>
      <c r="P306" s="652"/>
      <c r="Q306" s="652"/>
      <c r="R306" s="652"/>
      <c r="S306" s="652"/>
      <c r="T306" s="652"/>
      <c r="U306" s="652"/>
      <c r="V306" s="652"/>
      <c r="W306" s="703"/>
      <c r="X306" s="652"/>
      <c r="Y306" s="652"/>
      <c r="Z306" s="652"/>
      <c r="AA306" s="652"/>
      <c r="AB306" s="652"/>
      <c r="AC306" s="652"/>
      <c r="AD306" s="652"/>
      <c r="AE306" s="652"/>
      <c r="AF306" s="652"/>
      <c r="AG306" s="652"/>
      <c r="AH306" s="652"/>
      <c r="AI306" s="652"/>
      <c r="AJ306" s="652"/>
      <c r="AK306" s="652"/>
      <c r="AL306" s="652"/>
      <c r="AM306" s="652"/>
    </row>
    <row r="307" spans="1:39" x14ac:dyDescent="0.2">
      <c r="A307" s="699">
        <v>8</v>
      </c>
      <c r="B307" s="700">
        <f t="shared" si="14"/>
        <v>0</v>
      </c>
      <c r="C307" s="711">
        <v>18</v>
      </c>
      <c r="D307" s="653"/>
      <c r="E307" s="653"/>
      <c r="F307" s="652"/>
      <c r="G307" s="652"/>
      <c r="H307" s="652"/>
      <c r="I307" s="652"/>
      <c r="J307" s="652"/>
      <c r="K307" s="652"/>
      <c r="L307" s="652"/>
      <c r="M307" s="652"/>
      <c r="N307" s="652"/>
      <c r="O307" s="652"/>
      <c r="P307" s="652"/>
      <c r="Q307" s="652"/>
      <c r="R307" s="652"/>
      <c r="S307" s="652"/>
      <c r="T307" s="652"/>
      <c r="U307" s="652"/>
      <c r="V307" s="652"/>
      <c r="W307" s="652"/>
      <c r="X307" s="652"/>
      <c r="Y307" s="652"/>
      <c r="Z307" s="652"/>
      <c r="AA307" s="652"/>
      <c r="AB307" s="652"/>
      <c r="AC307" s="652"/>
      <c r="AD307" s="652"/>
      <c r="AE307" s="652"/>
      <c r="AF307" s="652"/>
      <c r="AG307" s="652"/>
      <c r="AH307" s="652"/>
      <c r="AI307" s="652"/>
      <c r="AJ307" s="652"/>
      <c r="AK307" s="652"/>
      <c r="AL307" s="652"/>
      <c r="AM307" s="652"/>
    </row>
    <row r="308" spans="1:39" x14ac:dyDescent="0.2">
      <c r="A308" s="699">
        <v>9</v>
      </c>
      <c r="B308" s="700">
        <f t="shared" si="14"/>
        <v>0</v>
      </c>
      <c r="C308" s="711">
        <v>16</v>
      </c>
      <c r="D308" s="653"/>
      <c r="E308" s="653"/>
      <c r="F308" s="652"/>
      <c r="G308" s="652"/>
      <c r="H308" s="652"/>
      <c r="I308" s="652"/>
      <c r="J308" s="652"/>
      <c r="K308" s="652"/>
      <c r="L308" s="652"/>
      <c r="M308" s="652"/>
      <c r="N308" s="652"/>
      <c r="O308" s="652"/>
      <c r="P308" s="652"/>
      <c r="Q308" s="652"/>
      <c r="R308" s="652"/>
      <c r="S308" s="652"/>
      <c r="T308" s="652"/>
      <c r="U308" s="652"/>
      <c r="V308" s="652"/>
      <c r="W308" s="652"/>
      <c r="X308" s="652"/>
      <c r="Y308" s="652"/>
      <c r="Z308" s="652"/>
      <c r="AA308" s="652"/>
      <c r="AB308" s="652"/>
      <c r="AC308" s="652"/>
      <c r="AD308" s="652"/>
      <c r="AE308" s="652"/>
      <c r="AF308" s="652"/>
      <c r="AG308" s="652"/>
      <c r="AH308" s="652"/>
      <c r="AI308" s="652"/>
      <c r="AJ308" s="652"/>
      <c r="AK308" s="652"/>
      <c r="AL308" s="652"/>
      <c r="AM308" s="652"/>
    </row>
    <row r="309" spans="1:39" x14ac:dyDescent="0.2">
      <c r="A309" s="699">
        <v>10</v>
      </c>
      <c r="B309" s="700">
        <f t="shared" si="14"/>
        <v>0</v>
      </c>
      <c r="C309" s="652">
        <v>14</v>
      </c>
      <c r="D309" s="653"/>
      <c r="E309" s="653"/>
      <c r="F309" s="652"/>
      <c r="G309" s="652"/>
      <c r="H309" s="652"/>
      <c r="I309" s="652"/>
      <c r="J309" s="652"/>
      <c r="K309" s="652"/>
      <c r="L309" s="652"/>
      <c r="M309" s="652"/>
      <c r="N309" s="652"/>
      <c r="O309" s="652"/>
      <c r="P309" s="652"/>
      <c r="Q309" s="652"/>
      <c r="R309" s="652"/>
      <c r="S309" s="652"/>
      <c r="T309" s="652"/>
      <c r="U309" s="652"/>
      <c r="V309" s="652"/>
      <c r="W309" s="652"/>
      <c r="X309" s="652"/>
      <c r="Y309" s="652"/>
      <c r="Z309" s="652"/>
      <c r="AA309" s="652"/>
      <c r="AB309" s="652"/>
      <c r="AC309" s="652"/>
      <c r="AD309" s="652"/>
      <c r="AE309" s="652"/>
      <c r="AF309" s="652"/>
      <c r="AG309" s="652"/>
      <c r="AH309" s="652"/>
      <c r="AI309" s="652"/>
      <c r="AJ309" s="652"/>
      <c r="AK309" s="652"/>
      <c r="AL309" s="652"/>
      <c r="AM309" s="652"/>
    </row>
    <row r="310" spans="1:39" x14ac:dyDescent="0.2">
      <c r="A310" s="699">
        <v>11</v>
      </c>
      <c r="B310" s="700">
        <f t="shared" si="14"/>
        <v>0</v>
      </c>
      <c r="C310" s="652">
        <v>12</v>
      </c>
      <c r="D310" s="652"/>
      <c r="E310" s="652"/>
      <c r="F310" s="652"/>
      <c r="G310" s="652"/>
      <c r="H310" s="652"/>
      <c r="I310" s="652"/>
      <c r="J310" s="652"/>
      <c r="K310" s="652"/>
      <c r="L310" s="652"/>
      <c r="M310" s="652"/>
      <c r="N310" s="652"/>
      <c r="O310" s="652"/>
      <c r="P310" s="652"/>
      <c r="Q310" s="652"/>
      <c r="R310" s="652"/>
      <c r="S310" s="652"/>
      <c r="T310" s="652"/>
      <c r="U310" s="652"/>
      <c r="V310" s="652"/>
      <c r="W310" s="652"/>
      <c r="X310" s="652"/>
      <c r="Y310" s="652"/>
      <c r="Z310" s="652"/>
      <c r="AA310" s="652"/>
      <c r="AB310" s="652"/>
      <c r="AC310" s="652"/>
      <c r="AD310" s="652"/>
      <c r="AE310" s="652"/>
      <c r="AF310" s="652"/>
      <c r="AG310" s="652"/>
      <c r="AH310" s="652"/>
      <c r="AI310" s="652"/>
      <c r="AJ310" s="652"/>
      <c r="AK310" s="652"/>
      <c r="AL310" s="652"/>
      <c r="AM310" s="652"/>
    </row>
    <row r="311" spans="1:39" x14ac:dyDescent="0.2">
      <c r="A311" s="699">
        <v>12</v>
      </c>
      <c r="B311" s="700">
        <f t="shared" si="14"/>
        <v>0</v>
      </c>
      <c r="C311" s="652">
        <v>10</v>
      </c>
      <c r="D311" s="652"/>
      <c r="E311" s="652"/>
      <c r="F311" s="652"/>
      <c r="G311" s="652"/>
      <c r="H311" s="652"/>
      <c r="I311" s="652"/>
      <c r="J311" s="652"/>
      <c r="K311" s="652"/>
      <c r="L311" s="652"/>
      <c r="M311" s="652"/>
      <c r="N311" s="652"/>
      <c r="O311" s="652"/>
      <c r="P311" s="652"/>
      <c r="Q311" s="652"/>
      <c r="R311" s="652"/>
      <c r="S311" s="652"/>
      <c r="T311" s="652"/>
      <c r="U311" s="652"/>
      <c r="V311" s="652"/>
      <c r="W311" s="652"/>
      <c r="X311" s="652"/>
      <c r="Y311" s="652"/>
      <c r="Z311" s="652"/>
      <c r="AA311" s="652"/>
      <c r="AB311" s="652"/>
      <c r="AC311" s="652"/>
      <c r="AD311" s="652"/>
      <c r="AE311" s="652"/>
      <c r="AF311" s="652"/>
      <c r="AG311" s="652"/>
      <c r="AH311" s="652"/>
      <c r="AI311" s="652"/>
      <c r="AJ311" s="652"/>
      <c r="AK311" s="652"/>
      <c r="AL311" s="652"/>
      <c r="AM311" s="652"/>
    </row>
    <row r="312" spans="1:39" x14ac:dyDescent="0.2">
      <c r="A312" s="699">
        <v>13</v>
      </c>
      <c r="B312" s="700">
        <f t="shared" si="14"/>
        <v>0</v>
      </c>
      <c r="C312" s="652">
        <v>8</v>
      </c>
      <c r="D312" s="652"/>
      <c r="E312" s="652"/>
      <c r="F312" s="652"/>
      <c r="G312" s="652"/>
      <c r="H312" s="652"/>
      <c r="I312" s="652"/>
      <c r="J312" s="652"/>
      <c r="K312" s="652"/>
      <c r="L312" s="652"/>
      <c r="M312" s="652"/>
      <c r="N312" s="652"/>
      <c r="O312" s="652"/>
      <c r="P312" s="652"/>
      <c r="Q312" s="652"/>
      <c r="R312" s="652"/>
      <c r="S312" s="652"/>
      <c r="T312" s="652"/>
      <c r="U312" s="652"/>
      <c r="V312" s="652"/>
      <c r="W312" s="652"/>
      <c r="X312" s="652"/>
      <c r="Y312" s="652"/>
      <c r="Z312" s="652"/>
      <c r="AA312" s="652"/>
      <c r="AB312" s="652"/>
      <c r="AC312" s="652"/>
      <c r="AD312" s="652"/>
      <c r="AE312" s="652"/>
      <c r="AF312" s="652"/>
      <c r="AG312" s="652"/>
      <c r="AH312" s="652"/>
      <c r="AI312" s="652"/>
      <c r="AJ312" s="652"/>
      <c r="AK312" s="652"/>
      <c r="AL312" s="652"/>
      <c r="AM312" s="652"/>
    </row>
    <row r="313" spans="1:39" x14ac:dyDescent="0.2">
      <c r="A313" s="699">
        <v>14</v>
      </c>
      <c r="B313" s="700">
        <f t="shared" si="14"/>
        <v>0</v>
      </c>
      <c r="C313" s="652">
        <v>6</v>
      </c>
    </row>
    <row r="314" spans="1:39" x14ac:dyDescent="0.2">
      <c r="A314" s="699">
        <v>15</v>
      </c>
      <c r="B314" s="700">
        <f t="shared" si="14"/>
        <v>0</v>
      </c>
      <c r="C314" s="652">
        <v>4</v>
      </c>
    </row>
    <row r="315" spans="1:39" x14ac:dyDescent="0.2">
      <c r="A315" s="699">
        <v>16</v>
      </c>
      <c r="B315" s="700">
        <f t="shared" si="14"/>
        <v>0</v>
      </c>
      <c r="C315" s="652">
        <v>2</v>
      </c>
    </row>
    <row r="316" spans="1:39" x14ac:dyDescent="0.2">
      <c r="A316" s="699">
        <v>17</v>
      </c>
      <c r="B316" s="700">
        <f t="shared" si="14"/>
        <v>0</v>
      </c>
      <c r="C316" s="701">
        <v>1</v>
      </c>
    </row>
    <row r="317" spans="1:39" x14ac:dyDescent="0.2">
      <c r="A317" s="699">
        <v>18</v>
      </c>
      <c r="B317" s="700">
        <f t="shared" si="14"/>
        <v>0</v>
      </c>
      <c r="C317" s="701">
        <v>1</v>
      </c>
    </row>
    <row r="318" spans="1:39" x14ac:dyDescent="0.2">
      <c r="A318" s="699">
        <v>19</v>
      </c>
      <c r="B318" s="700">
        <f t="shared" si="14"/>
        <v>0</v>
      </c>
      <c r="C318" s="701">
        <v>1</v>
      </c>
    </row>
    <row r="319" spans="1:39" x14ac:dyDescent="0.2">
      <c r="A319" s="699">
        <v>20</v>
      </c>
      <c r="B319" s="700">
        <f t="shared" si="14"/>
        <v>0</v>
      </c>
      <c r="C319" s="701">
        <f t="shared" ref="C319" si="15">IF(21-A319&gt;0,IF(OR(A319=A320,A318=A319),21-A319-0.5,21-A319),1)</f>
        <v>1</v>
      </c>
    </row>
    <row r="320" spans="1:39" x14ac:dyDescent="0.2">
      <c r="A320" s="699">
        <v>21</v>
      </c>
      <c r="B320" s="700">
        <f t="shared" si="14"/>
        <v>0</v>
      </c>
      <c r="C320" s="701">
        <f>IF(21-A320&gt;0,IF(OR(A320=A321,A319=A320),21-A320-0.5,21-A320),1)</f>
        <v>1</v>
      </c>
    </row>
    <row r="321" spans="1:3" x14ac:dyDescent="0.2">
      <c r="A321" s="699">
        <v>22</v>
      </c>
      <c r="B321" s="700">
        <f t="shared" si="14"/>
        <v>0</v>
      </c>
      <c r="C321" s="701">
        <f>IF(21-A321&gt;0,IF(OR(A321=A322,A320=A321),21-A321-0.5,21-A321),1)</f>
        <v>1</v>
      </c>
    </row>
    <row r="322" spans="1:3" x14ac:dyDescent="0.2">
      <c r="A322" s="699">
        <v>23</v>
      </c>
      <c r="B322" s="700">
        <f t="shared" si="14"/>
        <v>0</v>
      </c>
      <c r="C322" s="701">
        <f>IF(21-A322&gt;0,IF(OR(A322=A323,A321=A322),21-A322-0.5,21-A322),1)</f>
        <v>1</v>
      </c>
    </row>
    <row r="323" spans="1:3" x14ac:dyDescent="0.2">
      <c r="A323" s="699">
        <v>24</v>
      </c>
      <c r="B323" s="700">
        <f t="shared" si="14"/>
        <v>0</v>
      </c>
      <c r="C323" s="701">
        <f>IF(21-A323&gt;0,IF(OR(A323=A324,A322=A323),21-A323-0.5,21-A323),1)</f>
        <v>1</v>
      </c>
    </row>
  </sheetData>
  <conditionalFormatting sqref="A300:A323">
    <cfRule type="duplicateValues" dxfId="63" priority="42"/>
  </conditionalFormatting>
  <conditionalFormatting sqref="B300:B323">
    <cfRule type="expression" dxfId="62" priority="37">
      <formula>A300=3</formula>
    </cfRule>
    <cfRule type="expression" dxfId="61" priority="38">
      <formula>A300=2</formula>
    </cfRule>
    <cfRule type="expression" dxfId="60" priority="39">
      <formula>A300=1</formula>
    </cfRule>
    <cfRule type="containsBlanks" dxfId="59" priority="40">
      <formula>LEN(TRIM(B300))=0</formula>
    </cfRule>
    <cfRule type="duplicateValues" dxfId="58" priority="41"/>
  </conditionalFormatting>
  <conditionalFormatting sqref="A8:A31">
    <cfRule type="duplicateValues" dxfId="57" priority="36"/>
  </conditionalFormatting>
  <conditionalFormatting sqref="C8:C31">
    <cfRule type="expression" dxfId="56" priority="18">
      <formula>IF($C8&gt;$E8,TRUE)</formula>
    </cfRule>
  </conditionalFormatting>
  <conditionalFormatting sqref="E8:E31">
    <cfRule type="expression" dxfId="55" priority="19">
      <formula>IF($C8&lt;$E8,TRUE)</formula>
    </cfRule>
  </conditionalFormatting>
  <conditionalFormatting sqref="K8:K31">
    <cfRule type="expression" dxfId="54" priority="26">
      <formula>IF($K8&gt;$M8,TRUE)</formula>
    </cfRule>
  </conditionalFormatting>
  <conditionalFormatting sqref="M8:M31">
    <cfRule type="expression" dxfId="53" priority="27">
      <formula>IF($K8&lt;$M8,TRUE)</formula>
    </cfRule>
  </conditionalFormatting>
  <conditionalFormatting sqref="O8:O31">
    <cfRule type="expression" dxfId="52" priority="30">
      <formula>IF($O8&gt;$Q8,TRUE)</formula>
    </cfRule>
  </conditionalFormatting>
  <conditionalFormatting sqref="Q8:Q31">
    <cfRule type="expression" dxfId="51" priority="31">
      <formula>IF($O8&lt;$Q8,TRUE)</formula>
    </cfRule>
  </conditionalFormatting>
  <conditionalFormatting sqref="S8:S31">
    <cfRule type="expression" dxfId="50" priority="34">
      <formula>IF($S8&gt;$U8,TRUE)</formula>
    </cfRule>
  </conditionalFormatting>
  <conditionalFormatting sqref="U8:U31">
    <cfRule type="expression" dxfId="49" priority="35">
      <formula>IF($S8&lt;$U8,TRUE)</formula>
    </cfRule>
  </conditionalFormatting>
  <conditionalFormatting sqref="G8:G31">
    <cfRule type="expression" dxfId="48" priority="22">
      <formula>IF($G8&gt;$I8,TRUE)</formula>
    </cfRule>
  </conditionalFormatting>
  <conditionalFormatting sqref="I8:I31">
    <cfRule type="expression" dxfId="47" priority="23">
      <formula>IF($G8&lt;$I8,TRUE)</formula>
    </cfRule>
  </conditionalFormatting>
  <conditionalFormatting sqref="F8:F31">
    <cfRule type="containsText" dxfId="46" priority="9" operator="containsText" text="vaba voor">
      <formula>NOT(ISERROR(SEARCH("vaba voor",F8)))</formula>
    </cfRule>
  </conditionalFormatting>
  <conditionalFormatting sqref="N8:N31">
    <cfRule type="containsText" dxfId="45" priority="7" operator="containsText" text="vaba voor">
      <formula>NOT(ISERROR(SEARCH("vaba voor",N8)))</formula>
    </cfRule>
  </conditionalFormatting>
  <conditionalFormatting sqref="R8:R31">
    <cfRule type="containsText" dxfId="44" priority="10" operator="containsText" text="vaba voor">
      <formula>NOT(ISERROR(SEARCH("vaba voor",R8)))</formula>
    </cfRule>
  </conditionalFormatting>
  <conditionalFormatting sqref="V8:V31">
    <cfRule type="containsText" dxfId="43" priority="6" operator="containsText" text="vaba voor">
      <formula>NOT(ISERROR(SEARCH("vaba voor",V8)))</formula>
    </cfRule>
  </conditionalFormatting>
  <conditionalFormatting sqref="J8:J31">
    <cfRule type="containsText" dxfId="42" priority="8" operator="containsText" text="vaba voor">
      <formula>NOT(ISERROR(SEARCH("vaba voor",J8)))</formula>
    </cfRule>
  </conditionalFormatting>
  <conditionalFormatting sqref="C8:F31">
    <cfRule type="expression" dxfId="41" priority="14">
      <formula>IF(AND(ISNUMBER($C8),$C8=$E8),TRUE)</formula>
    </cfRule>
    <cfRule type="expression" dxfId="40" priority="16">
      <formula>IF($C8&gt;$E8,TRUE)</formula>
    </cfRule>
    <cfRule type="expression" dxfId="39" priority="17">
      <formula>IF($C8&lt;$E8,TRUE)</formula>
    </cfRule>
  </conditionalFormatting>
  <conditionalFormatting sqref="G8:J31">
    <cfRule type="expression" dxfId="38" priority="15">
      <formula>IF(AND(ISNUMBER($G8),$G8=$I8),TRUE)</formula>
    </cfRule>
    <cfRule type="expression" dxfId="37" priority="20">
      <formula>IF($G8&gt;$I8,TRUE)</formula>
    </cfRule>
    <cfRule type="expression" dxfId="36" priority="21">
      <formula>IF($G8&lt;$I8,TRUE)</formula>
    </cfRule>
  </conditionalFormatting>
  <conditionalFormatting sqref="K8:N31">
    <cfRule type="expression" dxfId="35" priority="13">
      <formula>IF(AND(ISNUMBER($K8),$K8=$M8),TRUE)</formula>
    </cfRule>
    <cfRule type="expression" dxfId="34" priority="24">
      <formula>IF($K8&gt;$M8,TRUE)</formula>
    </cfRule>
    <cfRule type="expression" dxfId="33" priority="25">
      <formula>IF($K8&lt;$M8,TRUE)</formula>
    </cfRule>
  </conditionalFormatting>
  <conditionalFormatting sqref="O8:R31">
    <cfRule type="expression" dxfId="32" priority="12">
      <formula>IF(AND(ISNUMBER($O8),$O8=$Q8),TRUE)</formula>
    </cfRule>
    <cfRule type="expression" dxfId="31" priority="28">
      <formula>IF($O8&gt;$Q8,TRUE)</formula>
    </cfRule>
    <cfRule type="expression" dxfId="30" priority="29">
      <formula>IF($O8&lt;$Q8,TRUE)</formula>
    </cfRule>
  </conditionalFormatting>
  <conditionalFormatting sqref="S8:V31">
    <cfRule type="expression" dxfId="29" priority="11">
      <formula>IF(AND(ISNUMBER($S8),$S8=$U8),TRUE)</formula>
    </cfRule>
    <cfRule type="expression" dxfId="28" priority="32">
      <formula>IF($S8&gt;$U8,TRUE)</formula>
    </cfRule>
    <cfRule type="expression" dxfId="27" priority="33">
      <formula>IF($S8&lt;$U8,TRUE)</formula>
    </cfRule>
  </conditionalFormatting>
  <conditionalFormatting sqref="C8:C31 G8:G31 K8:K31 O8:O31 S8:S31">
    <cfRule type="expression" dxfId="26" priority="4">
      <formula>AND(C8=0,E8=13)</formula>
    </cfRule>
  </conditionalFormatting>
  <conditionalFormatting sqref="AF8:AF31 AJ8:AJ31 AL8:AL31">
    <cfRule type="expression" dxfId="25" priority="1">
      <formula>AND(AE8="",COUNTIF(AF8,"*,*")=0)</formula>
    </cfRule>
  </conditionalFormatting>
  <conditionalFormatting sqref="AH8:AH31">
    <cfRule type="expression" dxfId="24" priority="2">
      <formula>AND(AG8="",FIND(",",AH8))</formula>
    </cfRule>
    <cfRule type="expression" dxfId="23" priority="3">
      <formula>AND(AG8="",COUNTIF(AH8,"*,*")=0)</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3"/>
  <sheetViews>
    <sheetView zoomScaleNormal="100" workbookViewId="0">
      <selection activeCell="H1" sqref="H1"/>
    </sheetView>
  </sheetViews>
  <sheetFormatPr defaultRowHeight="12.75" x14ac:dyDescent="0.2"/>
  <sheetData>
    <row r="1" spans="1:2" x14ac:dyDescent="0.2">
      <c r="A1">
        <v>0</v>
      </c>
      <c r="B1" s="646">
        <v>0</v>
      </c>
    </row>
    <row r="2" spans="1:2" x14ac:dyDescent="0.2">
      <c r="A2">
        <v>1</v>
      </c>
      <c r="B2" s="646" t="s">
        <v>331</v>
      </c>
    </row>
    <row r="3" spans="1:2" x14ac:dyDescent="0.2">
      <c r="A3">
        <v>2</v>
      </c>
      <c r="B3" s="646" t="s">
        <v>332</v>
      </c>
    </row>
    <row r="4" spans="1:2" x14ac:dyDescent="0.2">
      <c r="A4">
        <v>3</v>
      </c>
      <c r="B4" s="646" t="s">
        <v>333</v>
      </c>
    </row>
    <row r="5" spans="1:2" x14ac:dyDescent="0.2">
      <c r="A5">
        <v>4</v>
      </c>
      <c r="B5" s="646" t="s">
        <v>334</v>
      </c>
    </row>
    <row r="6" spans="1:2" x14ac:dyDescent="0.2">
      <c r="A6">
        <v>5</v>
      </c>
      <c r="B6" s="646" t="s">
        <v>335</v>
      </c>
    </row>
    <row r="7" spans="1:2" x14ac:dyDescent="0.2">
      <c r="A7">
        <v>6</v>
      </c>
      <c r="B7" s="646" t="s">
        <v>336</v>
      </c>
    </row>
    <row r="8" spans="1:2" x14ac:dyDescent="0.2">
      <c r="A8">
        <v>7</v>
      </c>
      <c r="B8" s="646" t="s">
        <v>337</v>
      </c>
    </row>
    <row r="9" spans="1:2" x14ac:dyDescent="0.2">
      <c r="A9">
        <v>8</v>
      </c>
      <c r="B9" s="646" t="s">
        <v>333</v>
      </c>
    </row>
    <row r="10" spans="1:2" x14ac:dyDescent="0.2">
      <c r="A10">
        <v>9</v>
      </c>
      <c r="B10" s="646" t="s">
        <v>334</v>
      </c>
    </row>
    <row r="11" spans="1:2" x14ac:dyDescent="0.2">
      <c r="A11">
        <v>10</v>
      </c>
      <c r="B11" s="646" t="s">
        <v>335</v>
      </c>
    </row>
    <row r="12" spans="1:2" x14ac:dyDescent="0.2">
      <c r="A12">
        <v>11</v>
      </c>
      <c r="B12" s="646" t="s">
        <v>336</v>
      </c>
    </row>
    <row r="13" spans="1:2" x14ac:dyDescent="0.2">
      <c r="A13">
        <v>12</v>
      </c>
      <c r="B13" s="646" t="s">
        <v>337</v>
      </c>
    </row>
    <row r="14" spans="1:2" x14ac:dyDescent="0.2">
      <c r="A14">
        <v>13</v>
      </c>
      <c r="B14" s="646" t="s">
        <v>338</v>
      </c>
    </row>
    <row r="15" spans="1:2" x14ac:dyDescent="0.2">
      <c r="A15">
        <v>14</v>
      </c>
      <c r="B15" s="646" t="s">
        <v>339</v>
      </c>
    </row>
    <row r="16" spans="1:2" x14ac:dyDescent="0.2">
      <c r="A16">
        <v>15</v>
      </c>
      <c r="B16" s="646" t="s">
        <v>206</v>
      </c>
    </row>
    <row r="17" spans="1:2" x14ac:dyDescent="0.2">
      <c r="A17">
        <v>16</v>
      </c>
      <c r="B17" s="646" t="s">
        <v>209</v>
      </c>
    </row>
    <row r="18" spans="1:2" x14ac:dyDescent="0.2">
      <c r="A18">
        <v>17</v>
      </c>
      <c r="B18" s="646" t="s">
        <v>340</v>
      </c>
    </row>
    <row r="19" spans="1:2" x14ac:dyDescent="0.2">
      <c r="A19">
        <v>18</v>
      </c>
      <c r="B19" s="646" t="s">
        <v>308</v>
      </c>
    </row>
    <row r="20" spans="1:2" x14ac:dyDescent="0.2">
      <c r="A20">
        <v>19</v>
      </c>
      <c r="B20" s="646" t="s">
        <v>205</v>
      </c>
    </row>
    <row r="21" spans="1:2" x14ac:dyDescent="0.2">
      <c r="A21">
        <v>20</v>
      </c>
      <c r="B21" s="646" t="s">
        <v>341</v>
      </c>
    </row>
    <row r="22" spans="1:2" x14ac:dyDescent="0.2">
      <c r="A22">
        <v>21</v>
      </c>
      <c r="B22" s="646" t="s">
        <v>342</v>
      </c>
    </row>
    <row r="23" spans="1:2" x14ac:dyDescent="0.2">
      <c r="A23">
        <v>22</v>
      </c>
      <c r="B23" s="646" t="s">
        <v>343</v>
      </c>
    </row>
    <row r="24" spans="1:2" x14ac:dyDescent="0.2">
      <c r="A24">
        <v>23</v>
      </c>
      <c r="B24" s="646" t="s">
        <v>5</v>
      </c>
    </row>
    <row r="25" spans="1:2" x14ac:dyDescent="0.2">
      <c r="A25">
        <v>24</v>
      </c>
      <c r="B25" s="646" t="s">
        <v>344</v>
      </c>
    </row>
    <row r="26" spans="1:2" x14ac:dyDescent="0.2">
      <c r="A26">
        <v>25</v>
      </c>
      <c r="B26" s="646" t="s">
        <v>8</v>
      </c>
    </row>
    <row r="27" spans="1:2" x14ac:dyDescent="0.2">
      <c r="A27">
        <v>26</v>
      </c>
      <c r="B27" s="646" t="s">
        <v>345</v>
      </c>
    </row>
    <row r="28" spans="1:2" x14ac:dyDescent="0.2">
      <c r="A28">
        <v>27</v>
      </c>
      <c r="B28" s="646" t="s">
        <v>312</v>
      </c>
    </row>
    <row r="29" spans="1:2" x14ac:dyDescent="0.2">
      <c r="A29">
        <v>28</v>
      </c>
      <c r="B29" s="646" t="s">
        <v>346</v>
      </c>
    </row>
    <row r="30" spans="1:2" x14ac:dyDescent="0.2">
      <c r="A30">
        <v>29</v>
      </c>
      <c r="B30" s="646" t="s">
        <v>347</v>
      </c>
    </row>
    <row r="31" spans="1:2" x14ac:dyDescent="0.2">
      <c r="A31">
        <v>30</v>
      </c>
      <c r="B31" s="646" t="s">
        <v>348</v>
      </c>
    </row>
    <row r="32" spans="1:2" x14ac:dyDescent="0.2">
      <c r="A32">
        <v>31</v>
      </c>
      <c r="B32" s="646" t="s">
        <v>349</v>
      </c>
    </row>
    <row r="33" spans="2:2" x14ac:dyDescent="0.2">
      <c r="B33" t="s">
        <v>350</v>
      </c>
    </row>
  </sheetData>
  <pageMargins left="0.59055118110236227" right="0.39370078740157483" top="0.78740157480314965" bottom="0.39370078740157483" header="0.59055118110236227" footer="0"/>
  <pageSetup paperSize="9" fitToHeight="0" orientation="portrait" r:id="rId1"/>
  <headerFooter>
    <oddHeader>&amp;R&amp;9Page &amp;P of &amp;N</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zoomScaleNormal="100" workbookViewId="0">
      <selection activeCell="H1" sqref="H1"/>
    </sheetView>
  </sheetViews>
  <sheetFormatPr defaultRowHeight="12.75" x14ac:dyDescent="0.2"/>
  <sheetData>
    <row r="1" spans="1:9" x14ac:dyDescent="0.2">
      <c r="A1" s="647">
        <v>40</v>
      </c>
      <c r="E1" t="s">
        <v>351</v>
      </c>
    </row>
    <row r="2" spans="1:9" x14ac:dyDescent="0.2">
      <c r="A2" s="647">
        <v>34</v>
      </c>
    </row>
    <row r="3" spans="1:9" x14ac:dyDescent="0.2">
      <c r="A3" s="647">
        <v>30</v>
      </c>
      <c r="E3" s="648" t="s">
        <v>352</v>
      </c>
      <c r="F3" s="648"/>
      <c r="G3" s="648"/>
      <c r="H3" s="648"/>
      <c r="I3" s="648"/>
    </row>
    <row r="4" spans="1:9" x14ac:dyDescent="0.2">
      <c r="A4" s="647">
        <v>26</v>
      </c>
    </row>
    <row r="5" spans="1:9" x14ac:dyDescent="0.2">
      <c r="A5" s="647">
        <v>24</v>
      </c>
    </row>
    <row r="6" spans="1:9" x14ac:dyDescent="0.2">
      <c r="A6" s="647">
        <v>22</v>
      </c>
    </row>
    <row r="7" spans="1:9" x14ac:dyDescent="0.2">
      <c r="A7" s="647">
        <v>20</v>
      </c>
    </row>
    <row r="8" spans="1:9" x14ac:dyDescent="0.2">
      <c r="A8" s="647">
        <v>18</v>
      </c>
    </row>
    <row r="9" spans="1:9" x14ac:dyDescent="0.2">
      <c r="A9" s="647">
        <v>16</v>
      </c>
    </row>
    <row r="10" spans="1:9" x14ac:dyDescent="0.2">
      <c r="A10" s="647">
        <v>14</v>
      </c>
    </row>
    <row r="11" spans="1:9" x14ac:dyDescent="0.2">
      <c r="A11" s="647">
        <v>12</v>
      </c>
    </row>
    <row r="12" spans="1:9" x14ac:dyDescent="0.2">
      <c r="A12" s="647">
        <v>10</v>
      </c>
    </row>
    <row r="13" spans="1:9" x14ac:dyDescent="0.2">
      <c r="A13" s="647">
        <v>8</v>
      </c>
    </row>
    <row r="14" spans="1:9" x14ac:dyDescent="0.2">
      <c r="A14" s="647">
        <v>6</v>
      </c>
    </row>
    <row r="15" spans="1:9" x14ac:dyDescent="0.2">
      <c r="A15" s="647">
        <v>4</v>
      </c>
    </row>
    <row r="16" spans="1:9" x14ac:dyDescent="0.2">
      <c r="A16" s="647">
        <v>2</v>
      </c>
    </row>
    <row r="17" spans="1:2" x14ac:dyDescent="0.2">
      <c r="A17" s="647">
        <v>1</v>
      </c>
    </row>
    <row r="18" spans="1:2" x14ac:dyDescent="0.2">
      <c r="A18" s="649">
        <v>0</v>
      </c>
      <c r="B18" t="s">
        <v>353</v>
      </c>
    </row>
    <row r="19" spans="1:2" x14ac:dyDescent="0.2">
      <c r="A19" s="650" t="s">
        <v>292</v>
      </c>
      <c r="B19" t="s">
        <v>354</v>
      </c>
    </row>
  </sheetData>
  <conditionalFormatting sqref="A18">
    <cfRule type="duplicateValues" dxfId="22" priority="1"/>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
  <sheetViews>
    <sheetView zoomScaleNormal="100" workbookViewId="0">
      <selection activeCell="H1" sqref="H1"/>
    </sheetView>
  </sheetViews>
  <sheetFormatPr defaultRowHeight="12.75" x14ac:dyDescent="0.2"/>
  <sheetData>
    <row r="1" spans="1:9" x14ac:dyDescent="0.2">
      <c r="A1" s="647">
        <v>20</v>
      </c>
      <c r="B1" s="651" t="s">
        <v>355</v>
      </c>
      <c r="C1" s="651"/>
      <c r="D1" s="651"/>
      <c r="E1" t="s">
        <v>356</v>
      </c>
    </row>
    <row r="2" spans="1:9" x14ac:dyDescent="0.2">
      <c r="A2" s="647">
        <v>19</v>
      </c>
    </row>
    <row r="3" spans="1:9" x14ac:dyDescent="0.2">
      <c r="A3" s="647">
        <v>18</v>
      </c>
      <c r="E3" s="648" t="s">
        <v>352</v>
      </c>
      <c r="F3" s="648"/>
      <c r="G3" s="648"/>
      <c r="H3" s="648"/>
      <c r="I3" s="648"/>
    </row>
    <row r="4" spans="1:9" x14ac:dyDescent="0.2">
      <c r="A4" s="647">
        <v>17</v>
      </c>
    </row>
    <row r="5" spans="1:9" x14ac:dyDescent="0.2">
      <c r="A5" s="647">
        <v>16</v>
      </c>
    </row>
    <row r="6" spans="1:9" x14ac:dyDescent="0.2">
      <c r="A6" s="647">
        <v>15</v>
      </c>
      <c r="E6" t="s">
        <v>357</v>
      </c>
    </row>
    <row r="7" spans="1:9" x14ac:dyDescent="0.2">
      <c r="A7" s="647">
        <v>14</v>
      </c>
    </row>
    <row r="8" spans="1:9" x14ac:dyDescent="0.2">
      <c r="A8" s="647">
        <v>13</v>
      </c>
    </row>
    <row r="9" spans="1:9" x14ac:dyDescent="0.2">
      <c r="A9" s="647">
        <v>12</v>
      </c>
    </row>
    <row r="10" spans="1:9" x14ac:dyDescent="0.2">
      <c r="A10" s="647">
        <v>11</v>
      </c>
    </row>
    <row r="11" spans="1:9" x14ac:dyDescent="0.2">
      <c r="A11" s="647">
        <v>10</v>
      </c>
    </row>
    <row r="12" spans="1:9" x14ac:dyDescent="0.2">
      <c r="A12" s="647">
        <v>9</v>
      </c>
    </row>
    <row r="13" spans="1:9" x14ac:dyDescent="0.2">
      <c r="A13" s="647">
        <v>8</v>
      </c>
    </row>
    <row r="14" spans="1:9" x14ac:dyDescent="0.2">
      <c r="A14" s="647">
        <v>7</v>
      </c>
    </row>
    <row r="15" spans="1:9" x14ac:dyDescent="0.2">
      <c r="A15" s="647">
        <v>6</v>
      </c>
    </row>
    <row r="16" spans="1:9" x14ac:dyDescent="0.2">
      <c r="A16" s="647">
        <v>5</v>
      </c>
    </row>
    <row r="17" spans="1:2" x14ac:dyDescent="0.2">
      <c r="A17" s="647">
        <v>4</v>
      </c>
    </row>
    <row r="18" spans="1:2" x14ac:dyDescent="0.2">
      <c r="A18" s="647">
        <v>3</v>
      </c>
    </row>
    <row r="19" spans="1:2" x14ac:dyDescent="0.2">
      <c r="A19" s="647">
        <v>2</v>
      </c>
    </row>
    <row r="20" spans="1:2" x14ac:dyDescent="0.2">
      <c r="A20" s="647">
        <v>1</v>
      </c>
    </row>
    <row r="21" spans="1:2" x14ac:dyDescent="0.2">
      <c r="A21" s="649">
        <v>0</v>
      </c>
      <c r="B21" t="s">
        <v>353</v>
      </c>
    </row>
    <row r="22" spans="1:2" x14ac:dyDescent="0.2">
      <c r="A22" s="650" t="s">
        <v>292</v>
      </c>
      <c r="B22" t="s">
        <v>354</v>
      </c>
    </row>
  </sheetData>
  <conditionalFormatting sqref="A21">
    <cfRule type="duplicateValues" dxfId="21" priority="1"/>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99"/>
    <pageSetUpPr fitToPage="1"/>
  </sheetPr>
  <dimension ref="A1:AM309"/>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33.28515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7" hidden="1" customWidth="1"/>
    <col min="33" max="33" width="9.140625" hidden="1" customWidth="1"/>
    <col min="34" max="34" width="35" hidden="1" customWidth="1"/>
    <col min="35" max="35" width="9.140625" hidden="1" customWidth="1"/>
    <col min="36" max="36" width="21.85546875" hidden="1" customWidth="1"/>
    <col min="37" max="37" width="9.140625" hidden="1" customWidth="1"/>
    <col min="38" max="38" width="13.85546875" hidden="1" customWidth="1"/>
  </cols>
  <sheetData>
    <row r="1" spans="1:39" x14ac:dyDescent="0.2">
      <c r="A1" s="742" t="str">
        <f>UPPER((Kalend!E5)&amp;" - "&amp;(Kalend!C5)&amp;" - "&amp;(Kalend!D5))</f>
        <v>A - VÄLISHOOAJA AVAVÕISTLUS - LOOSIDUO</v>
      </c>
      <c r="B1" s="652"/>
      <c r="C1" s="653"/>
      <c r="D1" s="652"/>
      <c r="E1" s="652"/>
      <c r="F1" s="410" t="str">
        <f>HYPERLINK("#Kalend!I1","Kalender")</f>
        <v>Kalender</v>
      </c>
      <c r="G1" s="410"/>
      <c r="H1" s="410"/>
      <c r="I1" s="410"/>
      <c r="J1" s="654" t="str">
        <f>HYPERLINK("#Reit!R1","Reiting")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tr">
        <f>"Toimumisaeg: "&amp;(Kalend!A5)&amp;" kell "&amp;(Kalend!B5)</f>
        <v>Toimumisaeg: K, 01.05.2019 kell 11:30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2"/>
      <c r="AE2" s="652"/>
      <c r="AF2" s="652"/>
      <c r="AG2" s="652"/>
      <c r="AH2" s="652"/>
      <c r="AI2" s="652"/>
      <c r="AJ2" s="652"/>
      <c r="AK2" s="652"/>
      <c r="AL2" s="652"/>
      <c r="AM2" s="652"/>
    </row>
    <row r="3" spans="1:39" x14ac:dyDescent="0.2">
      <c r="A3" s="659" t="str">
        <f>"Toimumiskoht: "&amp;(Kalend!F5)</f>
        <v>Toimumiskoht: Voka staadion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tr">
        <f>"Korraldaja: "&amp;(Kalend!G5)</f>
        <v>Korraldaja: Johannes Neiland</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x14ac:dyDescent="0.2">
      <c r="A8" s="685">
        <v>1</v>
      </c>
      <c r="B8" s="686" t="s">
        <v>450</v>
      </c>
      <c r="C8" s="687">
        <v>13</v>
      </c>
      <c r="D8" s="688" t="s">
        <v>377</v>
      </c>
      <c r="E8" s="689">
        <v>11</v>
      </c>
      <c r="F8" s="690" t="s">
        <v>441</v>
      </c>
      <c r="G8" s="687">
        <v>13</v>
      </c>
      <c r="H8" s="688" t="s">
        <v>377</v>
      </c>
      <c r="I8" s="689">
        <v>5</v>
      </c>
      <c r="J8" s="690" t="s">
        <v>442</v>
      </c>
      <c r="K8" s="687">
        <v>13</v>
      </c>
      <c r="L8" s="688" t="s">
        <v>377</v>
      </c>
      <c r="M8" s="689">
        <v>10</v>
      </c>
      <c r="N8" s="690" t="s">
        <v>443</v>
      </c>
      <c r="O8" s="687">
        <v>13</v>
      </c>
      <c r="P8" s="688" t="s">
        <v>377</v>
      </c>
      <c r="Q8" s="689">
        <v>12</v>
      </c>
      <c r="R8" s="690" t="s">
        <v>444</v>
      </c>
      <c r="S8" s="687">
        <v>13</v>
      </c>
      <c r="T8" s="688" t="s">
        <v>377</v>
      </c>
      <c r="U8" s="689">
        <v>12</v>
      </c>
      <c r="V8" s="690" t="s">
        <v>445</v>
      </c>
      <c r="W8" s="691">
        <f>IF(C8&gt;E8,J$3,IF(C8&lt;E8,J$5,IF(ISNUMBER(C8),J$4,0)))+IF(G8&gt;I8,J$3,IF(G8&lt;I8,J$5,IF(ISNUMBER(G8),J$4,0)))+IF(K8&gt;M8,J$3,IF(K8&lt;M8,J$5,IF(ISNUMBER(K8),J$4,0)))+IF(O8&gt;Q8,J$3,IF(O8&lt;Q8,J$5,IF(ISNUMBER(O8),J$4,0)))+IF(S8&gt;U8,J$3,IF(S8&lt;U8,J$5,IF(ISNUMBER(S8),J$4,0)))</f>
        <v>5</v>
      </c>
      <c r="X8" s="692"/>
      <c r="Y8" s="687">
        <f>C8+G8+K8+O8+S8</f>
        <v>65</v>
      </c>
      <c r="Z8" s="688" t="s">
        <v>377</v>
      </c>
      <c r="AA8" s="693">
        <f>E8+I8+M8+Q8+U8</f>
        <v>50</v>
      </c>
      <c r="AB8" s="694">
        <f>Y8-AA8</f>
        <v>15</v>
      </c>
      <c r="AC8" s="695"/>
      <c r="AD8" s="708">
        <f t="shared" ref="AD8" ca="1" si="0">SUM(AE8:AL8)</f>
        <v>448</v>
      </c>
      <c r="AE8" s="709">
        <f ca="1">IFERROR(INDEX(Reit!I$8:I$64,MATCH(AF8,Reit!F$8:F$64,0)),"")</f>
        <v>190</v>
      </c>
      <c r="AF8" s="710" t="str">
        <f t="shared" ref="AF8" si="1">IFERROR(LEFT(B8,(FIND(",",B8,1)-1)),"")</f>
        <v>Boriss Klubov</v>
      </c>
      <c r="AG8" s="709">
        <f ca="1">IFERROR(INDEX(Reit!I$8:I$64,MATCH(AH8,Reit!F$8:F$64,0)),"")</f>
        <v>258</v>
      </c>
      <c r="AH8" s="710" t="str">
        <f t="shared" ref="AH8" si="2">IFERROR(MID(B8,FIND(", ",B8)+2,256),"")</f>
        <v>Elmo Lageda</v>
      </c>
      <c r="AI8" s="709" t="str">
        <f>IFERROR(INDEX(Reit!I$8:I$64,MATCH(AJ8,Reit!F$8:F$64,0)),"")</f>
        <v/>
      </c>
      <c r="AJ8" s="710" t="str">
        <f t="shared" ref="AJ8" si="3">IFERROR(MID(B8,FIND("^",SUBSTITUTE(B8,", ","^",1))+2,FIND("^",SUBSTITUTE(B8,", ","^",2))-FIND("^",SUBSTITUTE(B8,", ","^",1))-2),"")</f>
        <v/>
      </c>
      <c r="AK8" s="709" t="str">
        <f>IFERROR(INDEX(Reit!I$8:I$64,MATCH(AL8,Reit!F$8:F$64,0)),"")</f>
        <v/>
      </c>
      <c r="AL8" s="710" t="str">
        <f t="shared" ref="AL8" si="4">IFERROR(MID(B8,FIND(", ",B8,FIND(", ",B8,FIND(", ",B8))+1)+2,700),"")</f>
        <v/>
      </c>
      <c r="AM8" s="652"/>
    </row>
    <row r="9" spans="1:39" x14ac:dyDescent="0.2">
      <c r="A9" s="685">
        <v>2</v>
      </c>
      <c r="B9" s="686" t="s">
        <v>444</v>
      </c>
      <c r="C9" s="687">
        <v>13</v>
      </c>
      <c r="D9" s="688" t="s">
        <v>377</v>
      </c>
      <c r="E9" s="689">
        <v>3</v>
      </c>
      <c r="F9" s="690" t="s">
        <v>446</v>
      </c>
      <c r="G9" s="687">
        <v>6</v>
      </c>
      <c r="H9" s="688" t="s">
        <v>377</v>
      </c>
      <c r="I9" s="689">
        <v>13</v>
      </c>
      <c r="J9" s="690" t="s">
        <v>443</v>
      </c>
      <c r="K9" s="687">
        <v>13</v>
      </c>
      <c r="L9" s="688" t="s">
        <v>377</v>
      </c>
      <c r="M9" s="689">
        <v>10</v>
      </c>
      <c r="N9" s="690" t="s">
        <v>447</v>
      </c>
      <c r="O9" s="687">
        <v>12</v>
      </c>
      <c r="P9" s="688" t="s">
        <v>377</v>
      </c>
      <c r="Q9" s="689">
        <v>13</v>
      </c>
      <c r="R9" s="690" t="s">
        <v>450</v>
      </c>
      <c r="S9" s="687">
        <v>13</v>
      </c>
      <c r="T9" s="688" t="s">
        <v>377</v>
      </c>
      <c r="U9" s="689">
        <v>2</v>
      </c>
      <c r="V9" s="690" t="s">
        <v>441</v>
      </c>
      <c r="W9" s="691">
        <f t="shared" ref="W9:W17" si="5">IF(C9&gt;E9,J$3,IF(C9&lt;E9,J$5,IF(ISNUMBER(C9),J$4,0)))+IF(G9&gt;I9,J$3,IF(G9&lt;I9,J$5,IF(ISNUMBER(G9),J$4,0)))+IF(K9&gt;M9,J$3,IF(K9&lt;M9,J$5,IF(ISNUMBER(K9),J$4,0)))+IF(O9&gt;Q9,J$3,IF(O9&lt;Q9,J$5,IF(ISNUMBER(O9),J$4,0)))+IF(S9&gt;U9,J$3,IF(S9&lt;U9,J$5,IF(ISNUMBER(S9),J$4,0)))</f>
        <v>3</v>
      </c>
      <c r="X9" s="692"/>
      <c r="Y9" s="687">
        <f t="shared" ref="Y9:Y17" si="6">C9+G9+K9+O9+S9</f>
        <v>57</v>
      </c>
      <c r="Z9" s="688" t="s">
        <v>377</v>
      </c>
      <c r="AA9" s="693">
        <f t="shared" ref="AA9:AA17" si="7">E9+I9+M9+Q9+U9</f>
        <v>41</v>
      </c>
      <c r="AB9" s="694">
        <f t="shared" ref="AB9:AB17" si="8">Y9-AA9</f>
        <v>16</v>
      </c>
      <c r="AC9" s="695"/>
      <c r="AD9" s="708">
        <f t="shared" ref="AD9:AD17" ca="1" si="9">SUM(AE9:AL9)</f>
        <v>332</v>
      </c>
      <c r="AE9" s="709">
        <f ca="1">IFERROR(INDEX(Reit!I$8:I$64,MATCH(AF9,Reit!F$8:F$64,0)),"")</f>
        <v>74</v>
      </c>
      <c r="AF9" s="710" t="str">
        <f t="shared" ref="AF9:AF17" si="10">IFERROR(LEFT(B9,(FIND(",",B9,1)-1)),"")</f>
        <v>Karla Purgats</v>
      </c>
      <c r="AG9" s="709">
        <f ca="1">IFERROR(INDEX(Reit!I$8:I$64,MATCH(AH9,Reit!F$8:F$64,0)),"")</f>
        <v>258</v>
      </c>
      <c r="AH9" s="710" t="str">
        <f t="shared" ref="AH9:AH17" si="11">IFERROR(MID(B9,FIND(", ",B9)+2,256),"")</f>
        <v>Kenneth Muusikus</v>
      </c>
      <c r="AI9" s="709" t="str">
        <f>IFERROR(INDEX(Reit!I$8:I$64,MATCH(AJ9,Reit!F$8:F$64,0)),"")</f>
        <v/>
      </c>
      <c r="AJ9" s="710" t="str">
        <f t="shared" ref="AJ9:AJ17" si="12">IFERROR(MID(B9,FIND("^",SUBSTITUTE(B9,", ","^",1))+2,FIND("^",SUBSTITUTE(B9,", ","^",2))-FIND("^",SUBSTITUTE(B9,", ","^",1))-2),"")</f>
        <v/>
      </c>
      <c r="AK9" s="709" t="str">
        <f>IFERROR(INDEX(Reit!I$8:I$64,MATCH(AL9,Reit!F$8:F$64,0)),"")</f>
        <v/>
      </c>
      <c r="AL9" s="710" t="str">
        <f t="shared" ref="AL9:AL17" si="13">IFERROR(MID(B9,FIND(", ",B9,FIND(", ",B9,FIND(", ",B9))+1)+2,700),"")</f>
        <v/>
      </c>
      <c r="AM9" s="652"/>
    </row>
    <row r="10" spans="1:39" x14ac:dyDescent="0.2">
      <c r="A10" s="685">
        <v>3</v>
      </c>
      <c r="B10" s="686" t="s">
        <v>441</v>
      </c>
      <c r="C10" s="687">
        <v>11</v>
      </c>
      <c r="D10" s="688" t="s">
        <v>377</v>
      </c>
      <c r="E10" s="689">
        <v>13</v>
      </c>
      <c r="F10" s="690" t="s">
        <v>450</v>
      </c>
      <c r="G10" s="687">
        <v>13</v>
      </c>
      <c r="H10" s="688" t="s">
        <v>377</v>
      </c>
      <c r="I10" s="689">
        <v>2</v>
      </c>
      <c r="J10" s="690" t="s">
        <v>445</v>
      </c>
      <c r="K10" s="687">
        <v>13</v>
      </c>
      <c r="L10" s="688" t="s">
        <v>377</v>
      </c>
      <c r="M10" s="689">
        <v>1</v>
      </c>
      <c r="N10" s="690" t="s">
        <v>448</v>
      </c>
      <c r="O10" s="687">
        <v>13</v>
      </c>
      <c r="P10" s="688" t="s">
        <v>377</v>
      </c>
      <c r="Q10" s="689">
        <v>12</v>
      </c>
      <c r="R10" s="690" t="s">
        <v>443</v>
      </c>
      <c r="S10" s="687">
        <v>2</v>
      </c>
      <c r="T10" s="688" t="s">
        <v>377</v>
      </c>
      <c r="U10" s="689">
        <v>13</v>
      </c>
      <c r="V10" s="690" t="s">
        <v>441</v>
      </c>
      <c r="W10" s="691">
        <f t="shared" si="5"/>
        <v>3</v>
      </c>
      <c r="X10" s="692"/>
      <c r="Y10" s="687">
        <f t="shared" si="6"/>
        <v>52</v>
      </c>
      <c r="Z10" s="688" t="s">
        <v>377</v>
      </c>
      <c r="AA10" s="693">
        <f t="shared" si="7"/>
        <v>41</v>
      </c>
      <c r="AB10" s="694">
        <f t="shared" si="8"/>
        <v>11</v>
      </c>
      <c r="AC10" s="695"/>
      <c r="AD10" s="708">
        <f t="shared" ca="1" si="9"/>
        <v>484</v>
      </c>
      <c r="AE10" s="709">
        <f ca="1">IFERROR(INDEX(Reit!I$8:I$64,MATCH(AF10,Reit!F$8:F$64,0)),"")</f>
        <v>234</v>
      </c>
      <c r="AF10" s="710" t="str">
        <f t="shared" si="10"/>
        <v>Andres Veski</v>
      </c>
      <c r="AG10" s="709">
        <f ca="1">IFERROR(INDEX(Reit!I$8:I$64,MATCH(AH10,Reit!F$8:F$64,0)),"")</f>
        <v>250</v>
      </c>
      <c r="AH10" s="710" t="str">
        <f t="shared" si="11"/>
        <v>Tõnu Piik</v>
      </c>
      <c r="AI10" s="709" t="str">
        <f>IFERROR(INDEX(Reit!I$8:I$64,MATCH(AJ10,Reit!F$8:F$64,0)),"")</f>
        <v/>
      </c>
      <c r="AJ10" s="710" t="str">
        <f t="shared" si="12"/>
        <v/>
      </c>
      <c r="AK10" s="709" t="str">
        <f>IFERROR(INDEX(Reit!I$8:I$64,MATCH(AL10,Reit!F$8:F$64,0)),"")</f>
        <v/>
      </c>
      <c r="AL10" s="710" t="str">
        <f t="shared" si="13"/>
        <v/>
      </c>
      <c r="AM10" s="652"/>
    </row>
    <row r="11" spans="1:39" x14ac:dyDescent="0.2">
      <c r="A11" s="685">
        <v>4</v>
      </c>
      <c r="B11" s="686" t="s">
        <v>445</v>
      </c>
      <c r="C11" s="687">
        <v>13</v>
      </c>
      <c r="D11" s="688" t="s">
        <v>377</v>
      </c>
      <c r="E11" s="689">
        <v>11</v>
      </c>
      <c r="F11" s="690" t="s">
        <v>449</v>
      </c>
      <c r="G11" s="687">
        <v>2</v>
      </c>
      <c r="H11" s="688" t="s">
        <v>377</v>
      </c>
      <c r="I11" s="689">
        <v>13</v>
      </c>
      <c r="J11" s="690" t="s">
        <v>441</v>
      </c>
      <c r="K11" s="687">
        <v>13</v>
      </c>
      <c r="L11" s="688" t="s">
        <v>377</v>
      </c>
      <c r="M11" s="689">
        <v>3</v>
      </c>
      <c r="N11" s="690" t="s">
        <v>442</v>
      </c>
      <c r="O11" s="687">
        <v>13</v>
      </c>
      <c r="P11" s="688" t="s">
        <v>377</v>
      </c>
      <c r="Q11" s="689">
        <v>10</v>
      </c>
      <c r="R11" s="690" t="s">
        <v>447</v>
      </c>
      <c r="S11" s="687">
        <v>12</v>
      </c>
      <c r="T11" s="688" t="s">
        <v>377</v>
      </c>
      <c r="U11" s="689">
        <v>13</v>
      </c>
      <c r="V11" s="690" t="s">
        <v>450</v>
      </c>
      <c r="W11" s="691">
        <f t="shared" si="5"/>
        <v>3</v>
      </c>
      <c r="X11" s="692"/>
      <c r="Y11" s="687">
        <f t="shared" si="6"/>
        <v>53</v>
      </c>
      <c r="Z11" s="688" t="s">
        <v>377</v>
      </c>
      <c r="AA11" s="693">
        <f t="shared" si="7"/>
        <v>50</v>
      </c>
      <c r="AB11" s="694">
        <f t="shared" si="8"/>
        <v>3</v>
      </c>
      <c r="AC11" s="695"/>
      <c r="AD11" s="708">
        <f t="shared" ca="1" si="9"/>
        <v>309</v>
      </c>
      <c r="AE11" s="709">
        <f ca="1">IFERROR(INDEX(Reit!I$8:I$64,MATCH(AF11,Reit!F$8:F$64,0)),"")</f>
        <v>51</v>
      </c>
      <c r="AF11" s="710" t="str">
        <f t="shared" si="10"/>
        <v>Jaan Saar</v>
      </c>
      <c r="AG11" s="709">
        <f ca="1">IFERROR(INDEX(Reit!I$8:I$64,MATCH(AH11,Reit!F$8:F$64,0)),"")</f>
        <v>258</v>
      </c>
      <c r="AH11" s="710" t="str">
        <f t="shared" si="11"/>
        <v>Oleg Rõndenkov</v>
      </c>
      <c r="AI11" s="709" t="str">
        <f>IFERROR(INDEX(Reit!I$8:I$64,MATCH(AJ11,Reit!F$8:F$64,0)),"")</f>
        <v/>
      </c>
      <c r="AJ11" s="710" t="str">
        <f t="shared" si="12"/>
        <v/>
      </c>
      <c r="AK11" s="709" t="str">
        <f>IFERROR(INDEX(Reit!I$8:I$64,MATCH(AL11,Reit!F$8:F$64,0)),"")</f>
        <v/>
      </c>
      <c r="AL11" s="710" t="str">
        <f t="shared" si="13"/>
        <v/>
      </c>
      <c r="AM11" s="652"/>
    </row>
    <row r="12" spans="1:39" x14ac:dyDescent="0.2">
      <c r="A12" s="685">
        <v>5</v>
      </c>
      <c r="B12" s="686" t="s">
        <v>449</v>
      </c>
      <c r="C12" s="687">
        <v>11</v>
      </c>
      <c r="D12" s="688" t="s">
        <v>377</v>
      </c>
      <c r="E12" s="689">
        <v>13</v>
      </c>
      <c r="F12" s="690" t="s">
        <v>445</v>
      </c>
      <c r="G12" s="687">
        <v>7</v>
      </c>
      <c r="H12" s="688" t="s">
        <v>377</v>
      </c>
      <c r="I12" s="689">
        <v>13</v>
      </c>
      <c r="J12" s="690" t="s">
        <v>448</v>
      </c>
      <c r="K12" s="687">
        <v>13</v>
      </c>
      <c r="L12" s="688" t="s">
        <v>377</v>
      </c>
      <c r="M12" s="689">
        <v>9</v>
      </c>
      <c r="N12" s="690" t="s">
        <v>446</v>
      </c>
      <c r="O12" s="687">
        <v>13</v>
      </c>
      <c r="P12" s="688" t="s">
        <v>377</v>
      </c>
      <c r="Q12" s="689">
        <v>6</v>
      </c>
      <c r="R12" s="690" t="s">
        <v>442</v>
      </c>
      <c r="S12" s="687">
        <v>13</v>
      </c>
      <c r="T12" s="688" t="s">
        <v>377</v>
      </c>
      <c r="U12" s="689">
        <v>6</v>
      </c>
      <c r="V12" s="690" t="s">
        <v>443</v>
      </c>
      <c r="W12" s="691">
        <f t="shared" si="5"/>
        <v>3</v>
      </c>
      <c r="X12" s="692"/>
      <c r="Y12" s="687">
        <f t="shared" si="6"/>
        <v>57</v>
      </c>
      <c r="Z12" s="688" t="s">
        <v>377</v>
      </c>
      <c r="AA12" s="693">
        <f t="shared" si="7"/>
        <v>47</v>
      </c>
      <c r="AB12" s="694">
        <f t="shared" si="8"/>
        <v>10</v>
      </c>
      <c r="AC12" s="695"/>
      <c r="AD12" s="708">
        <f t="shared" ca="1" si="9"/>
        <v>346</v>
      </c>
      <c r="AE12" s="709">
        <f ca="1">IFERROR(INDEX(Reit!I$8:I$64,MATCH(AF12,Reit!F$8:F$64,0)),"")</f>
        <v>310</v>
      </c>
      <c r="AF12" s="710" t="str">
        <f t="shared" si="10"/>
        <v>Jaan Sepp</v>
      </c>
      <c r="AG12" s="709">
        <f ca="1">IFERROR(INDEX(Reit!I$8:I$64,MATCH(AH12,Reit!F$8:F$64,0)),"")</f>
        <v>36</v>
      </c>
      <c r="AH12" s="710" t="str">
        <f t="shared" si="11"/>
        <v>Klavdia Piik</v>
      </c>
      <c r="AI12" s="709" t="str">
        <f>IFERROR(INDEX(Reit!I$8:I$64,MATCH(AJ12,Reit!F$8:F$64,0)),"")</f>
        <v/>
      </c>
      <c r="AJ12" s="710" t="str">
        <f t="shared" si="12"/>
        <v/>
      </c>
      <c r="AK12" s="709" t="str">
        <f>IFERROR(INDEX(Reit!I$8:I$64,MATCH(AL12,Reit!F$8:F$64,0)),"")</f>
        <v/>
      </c>
      <c r="AL12" s="710" t="str">
        <f t="shared" si="13"/>
        <v/>
      </c>
      <c r="AM12" s="652"/>
    </row>
    <row r="13" spans="1:39" x14ac:dyDescent="0.2">
      <c r="A13" s="685">
        <v>6</v>
      </c>
      <c r="B13" s="686" t="s">
        <v>443</v>
      </c>
      <c r="C13" s="687">
        <v>13</v>
      </c>
      <c r="D13" s="688" t="s">
        <v>377</v>
      </c>
      <c r="E13" s="689">
        <v>4</v>
      </c>
      <c r="F13" s="690" t="s">
        <v>447</v>
      </c>
      <c r="G13" s="687">
        <v>13</v>
      </c>
      <c r="H13" s="688" t="s">
        <v>377</v>
      </c>
      <c r="I13" s="689">
        <v>6</v>
      </c>
      <c r="J13" s="690" t="s">
        <v>444</v>
      </c>
      <c r="K13" s="687">
        <v>10</v>
      </c>
      <c r="L13" s="688" t="s">
        <v>377</v>
      </c>
      <c r="M13" s="689">
        <v>13</v>
      </c>
      <c r="N13" s="690" t="s">
        <v>450</v>
      </c>
      <c r="O13" s="687">
        <v>12</v>
      </c>
      <c r="P13" s="688" t="s">
        <v>377</v>
      </c>
      <c r="Q13" s="689">
        <v>13</v>
      </c>
      <c r="R13" s="690" t="s">
        <v>441</v>
      </c>
      <c r="S13" s="687">
        <v>6</v>
      </c>
      <c r="T13" s="688" t="s">
        <v>377</v>
      </c>
      <c r="U13" s="689">
        <v>13</v>
      </c>
      <c r="V13" s="690" t="s">
        <v>449</v>
      </c>
      <c r="W13" s="691">
        <f t="shared" si="5"/>
        <v>2</v>
      </c>
      <c r="X13" s="692"/>
      <c r="Y13" s="687">
        <f t="shared" si="6"/>
        <v>54</v>
      </c>
      <c r="Z13" s="688" t="s">
        <v>377</v>
      </c>
      <c r="AA13" s="693">
        <f t="shared" si="7"/>
        <v>49</v>
      </c>
      <c r="AB13" s="694">
        <f t="shared" si="8"/>
        <v>5</v>
      </c>
      <c r="AC13" s="695"/>
      <c r="AD13" s="708">
        <f t="shared" ca="1" si="9"/>
        <v>312</v>
      </c>
      <c r="AE13" s="709">
        <f ca="1">IFERROR(INDEX(Reit!I$8:I$64,MATCH(AF13,Reit!F$8:F$64,0)),"")</f>
        <v>196</v>
      </c>
      <c r="AF13" s="710" t="str">
        <f t="shared" si="10"/>
        <v>Aarne Välja</v>
      </c>
      <c r="AG13" s="709">
        <f ca="1">IFERROR(INDEX(Reit!I$8:I$64,MATCH(AH13,Reit!F$8:F$64,0)),"")</f>
        <v>116</v>
      </c>
      <c r="AH13" s="710" t="str">
        <f t="shared" si="11"/>
        <v>Henri Mitt</v>
      </c>
      <c r="AI13" s="709" t="str">
        <f>IFERROR(INDEX(Reit!I$8:I$64,MATCH(AJ13,Reit!F$8:F$64,0)),"")</f>
        <v/>
      </c>
      <c r="AJ13" s="710" t="str">
        <f t="shared" si="12"/>
        <v/>
      </c>
      <c r="AK13" s="709" t="str">
        <f>IFERROR(INDEX(Reit!I$8:I$64,MATCH(AL13,Reit!F$8:F$64,0)),"")</f>
        <v/>
      </c>
      <c r="AL13" s="710" t="str">
        <f t="shared" si="13"/>
        <v/>
      </c>
      <c r="AM13" s="652"/>
    </row>
    <row r="14" spans="1:39" x14ac:dyDescent="0.2">
      <c r="A14" s="685">
        <v>7</v>
      </c>
      <c r="B14" s="696" t="s">
        <v>447</v>
      </c>
      <c r="C14" s="687">
        <v>4</v>
      </c>
      <c r="D14" s="688" t="s">
        <v>377</v>
      </c>
      <c r="E14" s="689">
        <v>13</v>
      </c>
      <c r="F14" s="690" t="s">
        <v>443</v>
      </c>
      <c r="G14" s="687">
        <v>13</v>
      </c>
      <c r="H14" s="688" t="s">
        <v>377</v>
      </c>
      <c r="I14" s="689">
        <v>8</v>
      </c>
      <c r="J14" s="690" t="s">
        <v>446</v>
      </c>
      <c r="K14" s="687">
        <v>10</v>
      </c>
      <c r="L14" s="688" t="s">
        <v>377</v>
      </c>
      <c r="M14" s="689">
        <v>13</v>
      </c>
      <c r="N14" s="690" t="s">
        <v>444</v>
      </c>
      <c r="O14" s="687">
        <v>10</v>
      </c>
      <c r="P14" s="688" t="s">
        <v>377</v>
      </c>
      <c r="Q14" s="689">
        <v>13</v>
      </c>
      <c r="R14" s="690" t="s">
        <v>445</v>
      </c>
      <c r="S14" s="687">
        <v>13</v>
      </c>
      <c r="T14" s="688" t="s">
        <v>377</v>
      </c>
      <c r="U14" s="689">
        <v>7</v>
      </c>
      <c r="V14" s="690" t="s">
        <v>448</v>
      </c>
      <c r="W14" s="691">
        <f t="shared" si="5"/>
        <v>2</v>
      </c>
      <c r="X14" s="692"/>
      <c r="Y14" s="687">
        <f t="shared" si="6"/>
        <v>50</v>
      </c>
      <c r="Z14" s="688" t="s">
        <v>377</v>
      </c>
      <c r="AA14" s="693">
        <f t="shared" si="7"/>
        <v>54</v>
      </c>
      <c r="AB14" s="694">
        <f t="shared" si="8"/>
        <v>-4</v>
      </c>
      <c r="AC14" s="695"/>
      <c r="AD14" s="708">
        <f t="shared" ca="1" si="9"/>
        <v>168</v>
      </c>
      <c r="AE14" s="709">
        <f ca="1">IFERROR(INDEX(Reit!I$8:I$64,MATCH(AF14,Reit!F$8:F$64,0)),"")</f>
        <v>168</v>
      </c>
      <c r="AF14" s="710" t="str">
        <f t="shared" si="10"/>
        <v>Andrei Grintšak</v>
      </c>
      <c r="AG14" s="709" t="str">
        <f>IFERROR(INDEX(Reit!I$8:I$64,MATCH(AH14,Reit!F$8:F$64,0)),"")</f>
        <v/>
      </c>
      <c r="AH14" s="710" t="str">
        <f t="shared" si="11"/>
        <v>Melika Lehtla</v>
      </c>
      <c r="AI14" s="709" t="str">
        <f>IFERROR(INDEX(Reit!I$8:I$64,MATCH(AJ14,Reit!F$8:F$64,0)),"")</f>
        <v/>
      </c>
      <c r="AJ14" s="710" t="str">
        <f t="shared" si="12"/>
        <v/>
      </c>
      <c r="AK14" s="709" t="str">
        <f>IFERROR(INDEX(Reit!I$8:I$64,MATCH(AL14,Reit!F$8:F$64,0)),"")</f>
        <v/>
      </c>
      <c r="AL14" s="710" t="str">
        <f t="shared" si="13"/>
        <v/>
      </c>
      <c r="AM14" s="652"/>
    </row>
    <row r="15" spans="1:39" x14ac:dyDescent="0.2">
      <c r="A15" s="685">
        <v>8</v>
      </c>
      <c r="B15" s="696" t="s">
        <v>446</v>
      </c>
      <c r="C15" s="687">
        <v>3</v>
      </c>
      <c r="D15" s="688" t="s">
        <v>377</v>
      </c>
      <c r="E15" s="689">
        <v>13</v>
      </c>
      <c r="F15" s="690" t="s">
        <v>444</v>
      </c>
      <c r="G15" s="687">
        <v>8</v>
      </c>
      <c r="H15" s="688" t="s">
        <v>377</v>
      </c>
      <c r="I15" s="689">
        <v>13</v>
      </c>
      <c r="J15" s="690" t="s">
        <v>447</v>
      </c>
      <c r="K15" s="687">
        <v>9</v>
      </c>
      <c r="L15" s="688" t="s">
        <v>377</v>
      </c>
      <c r="M15" s="689">
        <v>13</v>
      </c>
      <c r="N15" s="690" t="s">
        <v>449</v>
      </c>
      <c r="O15" s="687">
        <v>13</v>
      </c>
      <c r="P15" s="688" t="s">
        <v>377</v>
      </c>
      <c r="Q15" s="689">
        <v>7</v>
      </c>
      <c r="R15" s="690" t="s">
        <v>448</v>
      </c>
      <c r="S15" s="687">
        <v>13</v>
      </c>
      <c r="T15" s="688" t="s">
        <v>377</v>
      </c>
      <c r="U15" s="689">
        <v>12</v>
      </c>
      <c r="V15" s="690" t="s">
        <v>442</v>
      </c>
      <c r="W15" s="691">
        <f t="shared" si="5"/>
        <v>2</v>
      </c>
      <c r="X15" s="692"/>
      <c r="Y15" s="687">
        <f t="shared" si="6"/>
        <v>46</v>
      </c>
      <c r="Z15" s="688" t="s">
        <v>377</v>
      </c>
      <c r="AA15" s="693">
        <f t="shared" si="7"/>
        <v>58</v>
      </c>
      <c r="AB15" s="694">
        <f t="shared" si="8"/>
        <v>-12</v>
      </c>
      <c r="AC15" s="695"/>
      <c r="AD15" s="708">
        <f t="shared" ca="1" si="9"/>
        <v>119</v>
      </c>
      <c r="AE15" s="709">
        <f ca="1">IFERROR(INDEX(Reit!I$8:I$64,MATCH(AF15,Reit!F$8:F$64,0)),"")</f>
        <v>80</v>
      </c>
      <c r="AF15" s="710" t="str">
        <f t="shared" si="10"/>
        <v>Enn Tokman</v>
      </c>
      <c r="AG15" s="709">
        <f ca="1">IFERROR(INDEX(Reit!I$8:I$64,MATCH(AH15,Reit!F$8:F$64,0)),"")</f>
        <v>39</v>
      </c>
      <c r="AH15" s="710" t="str">
        <f t="shared" si="11"/>
        <v>Illar Tõnurist</v>
      </c>
      <c r="AI15" s="709" t="str">
        <f>IFERROR(INDEX(Reit!I$8:I$64,MATCH(AJ15,Reit!F$8:F$64,0)),"")</f>
        <v/>
      </c>
      <c r="AJ15" s="710" t="str">
        <f t="shared" si="12"/>
        <v/>
      </c>
      <c r="AK15" s="709" t="str">
        <f>IFERROR(INDEX(Reit!I$8:I$64,MATCH(AL15,Reit!F$8:F$64,0)),"")</f>
        <v/>
      </c>
      <c r="AL15" s="710" t="str">
        <f t="shared" si="13"/>
        <v/>
      </c>
      <c r="AM15" s="652"/>
    </row>
    <row r="16" spans="1:39" x14ac:dyDescent="0.2">
      <c r="A16" s="685">
        <v>9</v>
      </c>
      <c r="B16" s="686" t="s">
        <v>442</v>
      </c>
      <c r="C16" s="687">
        <v>13</v>
      </c>
      <c r="D16" s="688" t="s">
        <v>377</v>
      </c>
      <c r="E16" s="689">
        <v>11</v>
      </c>
      <c r="F16" s="690" t="s">
        <v>448</v>
      </c>
      <c r="G16" s="687">
        <v>5</v>
      </c>
      <c r="H16" s="688" t="s">
        <v>377</v>
      </c>
      <c r="I16" s="689">
        <v>13</v>
      </c>
      <c r="J16" s="690" t="s">
        <v>450</v>
      </c>
      <c r="K16" s="687">
        <v>3</v>
      </c>
      <c r="L16" s="688" t="s">
        <v>377</v>
      </c>
      <c r="M16" s="689">
        <v>13</v>
      </c>
      <c r="N16" s="690" t="s">
        <v>445</v>
      </c>
      <c r="O16" s="687">
        <v>6</v>
      </c>
      <c r="P16" s="688" t="s">
        <v>377</v>
      </c>
      <c r="Q16" s="689">
        <v>13</v>
      </c>
      <c r="R16" s="690" t="s">
        <v>449</v>
      </c>
      <c r="S16" s="687">
        <v>12</v>
      </c>
      <c r="T16" s="688" t="s">
        <v>377</v>
      </c>
      <c r="U16" s="689">
        <v>13</v>
      </c>
      <c r="V16" s="690" t="s">
        <v>446</v>
      </c>
      <c r="W16" s="691">
        <f t="shared" si="5"/>
        <v>1</v>
      </c>
      <c r="X16" s="692"/>
      <c r="Y16" s="687">
        <f t="shared" si="6"/>
        <v>39</v>
      </c>
      <c r="Z16" s="688" t="s">
        <v>377</v>
      </c>
      <c r="AA16" s="693">
        <f t="shared" si="7"/>
        <v>63</v>
      </c>
      <c r="AB16" s="694">
        <f t="shared" si="8"/>
        <v>-24</v>
      </c>
      <c r="AC16" s="695"/>
      <c r="AD16" s="708">
        <f t="shared" ca="1" si="9"/>
        <v>41</v>
      </c>
      <c r="AE16" s="709" t="str">
        <f>IFERROR(INDEX(Reit!I$8:I$64,MATCH(AF16,Reit!F$8:F$64,0)),"")</f>
        <v/>
      </c>
      <c r="AF16" s="710" t="str">
        <f t="shared" si="10"/>
        <v>Aulis Paal</v>
      </c>
      <c r="AG16" s="709" t="str">
        <f>IFERROR(INDEX(Reit!I$8:I$64,MATCH(AH16,Reit!F$8:F$64,0)),"")</f>
        <v/>
      </c>
      <c r="AH16" s="710" t="str">
        <f t="shared" si="11"/>
        <v>Meelis Luud, Rein Allikas</v>
      </c>
      <c r="AI16" s="709">
        <f ca="1">IFERROR(INDEX(Reit!I$8:I$64,MATCH(AJ16,Reit!F$8:F$64,0)),"")</f>
        <v>41</v>
      </c>
      <c r="AJ16" s="710" t="str">
        <f t="shared" si="12"/>
        <v>Meelis Luud</v>
      </c>
      <c r="AK16" s="709" t="str">
        <f>IFERROR(INDEX(Reit!I$8:I$64,MATCH(AL16,Reit!F$8:F$64,0)),"")</f>
        <v/>
      </c>
      <c r="AL16" s="710" t="str">
        <f t="shared" si="13"/>
        <v>Rein Allikas</v>
      </c>
      <c r="AM16" s="652"/>
    </row>
    <row r="17" spans="1:39" ht="25.5" x14ac:dyDescent="0.2">
      <c r="A17" s="685">
        <v>10</v>
      </c>
      <c r="B17" s="686" t="s">
        <v>448</v>
      </c>
      <c r="C17" s="687">
        <v>11</v>
      </c>
      <c r="D17" s="688" t="s">
        <v>377</v>
      </c>
      <c r="E17" s="689">
        <v>13</v>
      </c>
      <c r="F17" s="690" t="s">
        <v>442</v>
      </c>
      <c r="G17" s="687">
        <v>13</v>
      </c>
      <c r="H17" s="688" t="s">
        <v>377</v>
      </c>
      <c r="I17" s="689">
        <v>7</v>
      </c>
      <c r="J17" s="690" t="s">
        <v>449</v>
      </c>
      <c r="K17" s="687">
        <v>1</v>
      </c>
      <c r="L17" s="688" t="s">
        <v>377</v>
      </c>
      <c r="M17" s="689">
        <v>13</v>
      </c>
      <c r="N17" s="690" t="s">
        <v>441</v>
      </c>
      <c r="O17" s="687">
        <v>7</v>
      </c>
      <c r="P17" s="688" t="s">
        <v>377</v>
      </c>
      <c r="Q17" s="689">
        <v>13</v>
      </c>
      <c r="R17" s="690" t="s">
        <v>446</v>
      </c>
      <c r="S17" s="687">
        <v>7</v>
      </c>
      <c r="T17" s="688" t="s">
        <v>377</v>
      </c>
      <c r="U17" s="689">
        <v>13</v>
      </c>
      <c r="V17" s="690" t="s">
        <v>447</v>
      </c>
      <c r="W17" s="691">
        <f t="shared" si="5"/>
        <v>1</v>
      </c>
      <c r="X17" s="692"/>
      <c r="Y17" s="687">
        <f t="shared" si="6"/>
        <v>39</v>
      </c>
      <c r="Z17" s="688" t="s">
        <v>377</v>
      </c>
      <c r="AA17" s="693">
        <f t="shared" si="7"/>
        <v>59</v>
      </c>
      <c r="AB17" s="694">
        <f t="shared" si="8"/>
        <v>-20</v>
      </c>
      <c r="AC17" s="695"/>
      <c r="AD17" s="708">
        <f t="shared" ca="1" si="9"/>
        <v>86</v>
      </c>
      <c r="AE17" s="709" t="str">
        <f>IFERROR(INDEX(Reit!I$8:I$64,MATCH(AF17,Reit!F$8:F$64,0)),"")</f>
        <v/>
      </c>
      <c r="AF17" s="710" t="str">
        <f t="shared" si="10"/>
        <v>Aleksander Korikov</v>
      </c>
      <c r="AG17" s="709" t="str">
        <f>IFERROR(INDEX(Reit!I$8:I$64,MATCH(AH17,Reit!F$8:F$64,0)),"")</f>
        <v/>
      </c>
      <c r="AH17" s="710" t="str">
        <f t="shared" si="11"/>
        <v>Sandra Laura Nõmmeloo, Tarmo Bombe</v>
      </c>
      <c r="AI17" s="709">
        <f ca="1">IFERROR(INDEX(Reit!I$8:I$64,MATCH(AJ17,Reit!F$8:F$64,0)),"")</f>
        <v>57</v>
      </c>
      <c r="AJ17" s="710" t="str">
        <f t="shared" si="12"/>
        <v>Sandra Laura Nõmmeloo</v>
      </c>
      <c r="AK17" s="709">
        <f ca="1">IFERROR(INDEX(Reit!I$8:I$64,MATCH(AL17,Reit!F$8:F$64,0)),"")</f>
        <v>29</v>
      </c>
      <c r="AL17" s="710" t="str">
        <f t="shared" si="13"/>
        <v>Tarmo Bombe</v>
      </c>
      <c r="AM17" s="652"/>
    </row>
    <row r="18" spans="1:39" hidden="1" x14ac:dyDescent="0.2">
      <c r="A18" s="652"/>
      <c r="B18" s="652"/>
      <c r="C18" s="652"/>
      <c r="D18" s="652"/>
      <c r="E18" s="652"/>
      <c r="F18" s="652"/>
      <c r="G18" s="652"/>
      <c r="H18" s="652"/>
      <c r="I18" s="652"/>
      <c r="J18" s="652"/>
      <c r="K18" s="652"/>
      <c r="L18" s="652"/>
      <c r="M18" s="652"/>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row>
    <row r="19" spans="1:39" hidden="1" x14ac:dyDescent="0.2">
      <c r="A19" s="652"/>
      <c r="B19" s="652"/>
      <c r="C19" s="652"/>
      <c r="D19" s="652"/>
      <c r="E19" s="652"/>
      <c r="F19" s="652"/>
      <c r="G19" s="652"/>
      <c r="H19" s="652"/>
      <c r="I19" s="652"/>
      <c r="J19" s="652"/>
      <c r="K19" s="652"/>
      <c r="L19" s="652"/>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row>
    <row r="20" spans="1:39" hidden="1" x14ac:dyDescent="0.2">
      <c r="A20" s="652"/>
      <c r="B20" s="652"/>
      <c r="C20" s="652"/>
      <c r="D20" s="652"/>
      <c r="E20" s="652"/>
      <c r="F20" s="652"/>
      <c r="G20" s="652"/>
      <c r="H20" s="652"/>
      <c r="I20" s="652"/>
      <c r="J20" s="652"/>
      <c r="K20" s="652"/>
      <c r="L20" s="652"/>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row>
    <row r="21" spans="1:39" hidden="1" x14ac:dyDescent="0.2">
      <c r="A21" s="652"/>
      <c r="B21" s="652"/>
      <c r="C21" s="652"/>
      <c r="D21" s="652"/>
      <c r="E21" s="652"/>
      <c r="F21" s="652"/>
      <c r="G21" s="652"/>
      <c r="H21" s="652"/>
      <c r="I21" s="652"/>
      <c r="J21" s="652"/>
      <c r="K21" s="652"/>
      <c r="L21" s="652"/>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row>
    <row r="22" spans="1:39" hidden="1" x14ac:dyDescent="0.2">
      <c r="A22" s="652"/>
      <c r="B22" s="652"/>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row>
    <row r="23" spans="1:39" hidden="1" x14ac:dyDescent="0.2">
      <c r="A23" s="652"/>
      <c r="B23" s="652"/>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row>
    <row r="24" spans="1:39" hidden="1" x14ac:dyDescent="0.2">
      <c r="A24" s="652"/>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row>
    <row r="25" spans="1:39" hidden="1" x14ac:dyDescent="0.2">
      <c r="A25" s="652"/>
      <c r="B25" s="652"/>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row>
    <row r="26" spans="1:39" hidden="1" x14ac:dyDescent="0.2">
      <c r="A26" s="652"/>
      <c r="B26" s="652"/>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row>
    <row r="27" spans="1:39" hidden="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row>
    <row r="28" spans="1:39" hidden="1" x14ac:dyDescent="0.2">
      <c r="A28" s="652"/>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row>
    <row r="29" spans="1:39" hidden="1" x14ac:dyDescent="0.2">
      <c r="A29" s="652"/>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row>
    <row r="30" spans="1:39"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row>
    <row r="31" spans="1:39"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row>
    <row r="32" spans="1:39"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row>
    <row r="33" spans="1:39"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row>
    <row r="34" spans="1:39"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row>
    <row r="35" spans="1:39"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row>
    <row r="36" spans="1:39"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2"/>
    </row>
    <row r="133" spans="1:39" hidden="1" x14ac:dyDescent="0.2">
      <c r="A133" s="652"/>
      <c r="B133" s="652"/>
      <c r="C133" s="652"/>
      <c r="D133" s="652"/>
      <c r="E133" s="652"/>
      <c r="F133" s="652"/>
      <c r="G133" s="652"/>
      <c r="H133" s="652"/>
      <c r="I133" s="652"/>
      <c r="J133" s="652"/>
      <c r="K133" s="652"/>
      <c r="L133" s="657"/>
      <c r="M133" s="657"/>
      <c r="N133" s="657"/>
      <c r="O133" s="652"/>
      <c r="P133" s="652"/>
      <c r="Q133" s="652"/>
      <c r="R133" s="652"/>
      <c r="S133" s="652"/>
      <c r="T133" s="657"/>
      <c r="U133" s="657"/>
      <c r="V133" s="657"/>
      <c r="W133" s="652"/>
      <c r="X133" s="652"/>
      <c r="Y133" s="652"/>
      <c r="Z133" s="652"/>
      <c r="AA133" s="652"/>
      <c r="AB133" s="652"/>
      <c r="AC133" s="652"/>
      <c r="AD133" s="652"/>
      <c r="AE133" s="652"/>
      <c r="AF133" s="652"/>
      <c r="AG133" s="652"/>
      <c r="AH133" s="652"/>
      <c r="AI133" s="652"/>
      <c r="AJ133" s="652"/>
      <c r="AK133" s="652"/>
      <c r="AL133" s="652"/>
      <c r="AM133" s="652"/>
    </row>
    <row r="134" spans="1:39" hidden="1" x14ac:dyDescent="0.2">
      <c r="A134" s="652"/>
      <c r="B134" s="652"/>
      <c r="C134" s="652"/>
      <c r="D134" s="652"/>
      <c r="E134" s="652"/>
      <c r="F134" s="652"/>
      <c r="G134" s="652"/>
      <c r="H134" s="652"/>
      <c r="I134" s="652"/>
      <c r="J134" s="652"/>
      <c r="K134" s="652"/>
      <c r="L134" s="657"/>
      <c r="M134" s="657"/>
      <c r="N134" s="657"/>
      <c r="O134" s="652"/>
      <c r="P134" s="652"/>
      <c r="Q134" s="652"/>
      <c r="R134" s="652"/>
      <c r="S134" s="652"/>
      <c r="T134" s="657"/>
      <c r="U134" s="657"/>
      <c r="V134" s="657"/>
      <c r="W134" s="652"/>
      <c r="X134" s="652"/>
      <c r="Y134" s="652"/>
      <c r="Z134" s="652"/>
      <c r="AA134" s="652"/>
      <c r="AB134" s="652"/>
      <c r="AC134" s="652"/>
      <c r="AD134" s="652"/>
      <c r="AE134" s="652"/>
      <c r="AF134" s="652"/>
      <c r="AG134" s="652"/>
      <c r="AH134" s="652"/>
      <c r="AI134" s="652"/>
      <c r="AJ134" s="652"/>
      <c r="AK134" s="652"/>
      <c r="AL134" s="652"/>
      <c r="AM134" s="652"/>
    </row>
    <row r="135" spans="1:39" hidden="1" x14ac:dyDescent="0.2">
      <c r="A135" s="652"/>
      <c r="B135" s="652"/>
      <c r="C135" s="652"/>
      <c r="D135" s="652"/>
      <c r="E135" s="652"/>
      <c r="F135" s="652"/>
      <c r="G135" s="652"/>
      <c r="H135" s="652"/>
      <c r="I135" s="652"/>
      <c r="J135" s="652"/>
      <c r="K135" s="652"/>
      <c r="L135" s="657"/>
      <c r="M135" s="657"/>
      <c r="N135" s="657"/>
      <c r="O135" s="652"/>
      <c r="P135" s="652"/>
      <c r="Q135" s="652"/>
      <c r="R135" s="652"/>
      <c r="S135" s="652"/>
      <c r="T135" s="657"/>
      <c r="U135" s="657"/>
      <c r="V135" s="657"/>
      <c r="W135" s="652"/>
      <c r="X135" s="652"/>
      <c r="Y135" s="652"/>
      <c r="Z135" s="652"/>
      <c r="AA135" s="652"/>
      <c r="AB135" s="652"/>
      <c r="AC135" s="652"/>
      <c r="AD135" s="652"/>
      <c r="AE135" s="652"/>
      <c r="AF135" s="652"/>
      <c r="AG135" s="652"/>
      <c r="AH135" s="652"/>
      <c r="AI135" s="652"/>
      <c r="AJ135" s="652"/>
      <c r="AK135" s="652"/>
      <c r="AL135" s="652"/>
      <c r="AM135" s="652"/>
    </row>
    <row r="136" spans="1:39" hidden="1" x14ac:dyDescent="0.2">
      <c r="A136" s="652"/>
      <c r="B136" s="652"/>
      <c r="C136" s="652"/>
      <c r="D136" s="652"/>
      <c r="E136" s="652"/>
      <c r="F136" s="652"/>
      <c r="G136" s="652"/>
      <c r="H136" s="652"/>
      <c r="I136" s="652"/>
      <c r="J136" s="652"/>
      <c r="K136" s="652"/>
      <c r="L136" s="657"/>
      <c r="M136" s="657"/>
      <c r="N136" s="657"/>
      <c r="O136" s="652"/>
      <c r="P136" s="652"/>
      <c r="Q136" s="652"/>
      <c r="R136" s="652"/>
      <c r="S136" s="652"/>
      <c r="T136" s="657"/>
      <c r="U136" s="657"/>
      <c r="V136" s="657"/>
      <c r="W136" s="652"/>
      <c r="X136" s="652"/>
      <c r="Y136" s="652"/>
      <c r="Z136" s="652"/>
      <c r="AA136" s="652"/>
      <c r="AB136" s="652"/>
      <c r="AC136" s="652"/>
      <c r="AD136" s="652"/>
      <c r="AE136" s="652"/>
      <c r="AF136" s="652"/>
      <c r="AG136" s="652"/>
      <c r="AH136" s="652"/>
      <c r="AI136" s="652"/>
      <c r="AJ136" s="652"/>
      <c r="AK136" s="652"/>
      <c r="AL136" s="652"/>
      <c r="AM136" s="652"/>
    </row>
    <row r="137" spans="1:39" hidden="1" x14ac:dyDescent="0.2">
      <c r="A137" s="652"/>
      <c r="B137" s="652"/>
      <c r="C137" s="652"/>
      <c r="D137" s="652"/>
      <c r="E137" s="652"/>
      <c r="F137" s="652"/>
      <c r="G137" s="652"/>
      <c r="H137" s="652"/>
      <c r="I137" s="652"/>
      <c r="J137" s="652"/>
      <c r="K137" s="652"/>
      <c r="L137" s="657"/>
      <c r="M137" s="657"/>
      <c r="N137" s="657"/>
      <c r="O137" s="652"/>
      <c r="P137" s="652"/>
      <c r="Q137" s="652"/>
      <c r="R137" s="652"/>
      <c r="S137" s="652"/>
      <c r="T137" s="657"/>
      <c r="U137" s="657"/>
      <c r="V137" s="657"/>
      <c r="W137" s="652"/>
      <c r="X137" s="652"/>
      <c r="Y137" s="652"/>
      <c r="Z137" s="652"/>
      <c r="AA137" s="652"/>
      <c r="AB137" s="652"/>
      <c r="AC137" s="652"/>
      <c r="AD137" s="652"/>
      <c r="AE137" s="652"/>
      <c r="AF137" s="652"/>
      <c r="AG137" s="652"/>
      <c r="AH137" s="652"/>
      <c r="AI137" s="652"/>
      <c r="AJ137" s="652"/>
      <c r="AK137" s="652"/>
      <c r="AL137" s="652"/>
      <c r="AM137" s="652"/>
    </row>
    <row r="138" spans="1:39" hidden="1" x14ac:dyDescent="0.2">
      <c r="A138" s="652"/>
      <c r="B138" s="652"/>
      <c r="C138" s="652"/>
      <c r="D138" s="652"/>
      <c r="E138" s="652"/>
      <c r="F138" s="652"/>
      <c r="G138" s="652"/>
      <c r="H138" s="652"/>
      <c r="I138" s="652"/>
      <c r="J138" s="652"/>
      <c r="K138" s="652"/>
      <c r="L138" s="657"/>
      <c r="M138" s="657"/>
      <c r="N138" s="657"/>
      <c r="O138" s="652"/>
      <c r="P138" s="652"/>
      <c r="Q138" s="652"/>
      <c r="R138" s="652"/>
      <c r="S138" s="652"/>
      <c r="T138" s="657"/>
      <c r="U138" s="657"/>
      <c r="V138" s="657"/>
      <c r="W138" s="652"/>
      <c r="X138" s="652"/>
      <c r="Y138" s="652"/>
      <c r="Z138" s="652"/>
      <c r="AA138" s="652"/>
      <c r="AB138" s="652"/>
      <c r="AC138" s="652"/>
      <c r="AD138" s="652"/>
      <c r="AE138" s="652"/>
      <c r="AF138" s="652"/>
      <c r="AG138" s="652"/>
      <c r="AH138" s="652"/>
      <c r="AI138" s="652"/>
      <c r="AJ138" s="652"/>
      <c r="AK138" s="652"/>
      <c r="AL138" s="652"/>
      <c r="AM138" s="652"/>
    </row>
    <row r="139" spans="1:39" hidden="1" x14ac:dyDescent="0.2">
      <c r="A139" s="652"/>
      <c r="B139" s="652"/>
      <c r="C139" s="652"/>
      <c r="D139" s="652"/>
      <c r="E139" s="652"/>
      <c r="F139" s="652"/>
      <c r="G139" s="652"/>
      <c r="H139" s="652"/>
      <c r="I139" s="652"/>
      <c r="J139" s="652"/>
      <c r="K139" s="652"/>
      <c r="L139" s="657"/>
      <c r="M139" s="657"/>
      <c r="N139" s="657"/>
      <c r="O139" s="652"/>
      <c r="P139" s="652"/>
      <c r="Q139" s="652"/>
      <c r="R139" s="652"/>
      <c r="S139" s="652"/>
      <c r="T139" s="657"/>
      <c r="U139" s="657"/>
      <c r="V139" s="657"/>
      <c r="W139" s="652"/>
      <c r="X139" s="652"/>
      <c r="Y139" s="652"/>
      <c r="Z139" s="652"/>
      <c r="AA139" s="652"/>
      <c r="AB139" s="652"/>
      <c r="AC139" s="652"/>
      <c r="AD139" s="652"/>
      <c r="AE139" s="652"/>
      <c r="AF139" s="652"/>
      <c r="AG139" s="652"/>
      <c r="AH139" s="652"/>
      <c r="AI139" s="652"/>
      <c r="AJ139" s="652"/>
      <c r="AK139" s="652"/>
      <c r="AL139" s="652"/>
      <c r="AM139" s="652"/>
    </row>
    <row r="140" spans="1:39" hidden="1" x14ac:dyDescent="0.2">
      <c r="A140" s="652"/>
      <c r="B140" s="652"/>
      <c r="C140" s="652"/>
      <c r="D140" s="652"/>
      <c r="E140" s="652"/>
      <c r="F140" s="652"/>
      <c r="G140" s="652"/>
      <c r="H140" s="652"/>
      <c r="I140" s="652"/>
      <c r="J140" s="652"/>
      <c r="K140" s="652"/>
      <c r="L140" s="657"/>
      <c r="M140" s="657"/>
      <c r="N140" s="657"/>
      <c r="O140" s="652"/>
      <c r="P140" s="652"/>
      <c r="Q140" s="652"/>
      <c r="R140" s="652"/>
      <c r="S140" s="652"/>
      <c r="T140" s="657"/>
      <c r="U140" s="657"/>
      <c r="V140" s="657"/>
      <c r="W140" s="652"/>
      <c r="X140" s="652"/>
      <c r="Y140" s="652"/>
      <c r="Z140" s="652"/>
      <c r="AA140" s="652"/>
      <c r="AB140" s="652"/>
      <c r="AC140" s="652"/>
      <c r="AD140" s="652"/>
      <c r="AE140" s="652"/>
      <c r="AF140" s="652"/>
      <c r="AG140" s="652"/>
      <c r="AH140" s="652"/>
      <c r="AI140" s="652"/>
      <c r="AJ140" s="652"/>
      <c r="AK140" s="652"/>
      <c r="AL140" s="652"/>
      <c r="AM140" s="652"/>
    </row>
    <row r="141" spans="1:39" hidden="1" x14ac:dyDescent="0.2">
      <c r="A141" s="652"/>
      <c r="B141" s="652"/>
      <c r="C141" s="652"/>
      <c r="D141" s="652"/>
      <c r="E141" s="652"/>
      <c r="F141" s="652"/>
      <c r="G141" s="652"/>
      <c r="H141" s="652"/>
      <c r="I141" s="652"/>
      <c r="J141" s="652"/>
      <c r="K141" s="652"/>
      <c r="L141" s="657"/>
      <c r="M141" s="657"/>
      <c r="N141" s="657"/>
      <c r="O141" s="652"/>
      <c r="P141" s="652"/>
      <c r="Q141" s="652"/>
      <c r="R141" s="652"/>
      <c r="S141" s="652"/>
      <c r="T141" s="657"/>
      <c r="U141" s="657"/>
      <c r="V141" s="657"/>
      <c r="W141" s="652"/>
      <c r="X141" s="652"/>
      <c r="Y141" s="652"/>
      <c r="Z141" s="652"/>
      <c r="AA141" s="652"/>
      <c r="AB141" s="652"/>
      <c r="AC141" s="652"/>
      <c r="AD141" s="652"/>
      <c r="AE141" s="652"/>
      <c r="AF141" s="652"/>
      <c r="AG141" s="652"/>
      <c r="AH141" s="652"/>
      <c r="AI141" s="652"/>
      <c r="AJ141" s="652"/>
      <c r="AK141" s="652"/>
      <c r="AL141" s="652"/>
      <c r="AM141" s="652"/>
    </row>
    <row r="142" spans="1:39" hidden="1" x14ac:dyDescent="0.2">
      <c r="A142" s="652"/>
      <c r="B142" s="652"/>
      <c r="C142" s="652"/>
      <c r="D142" s="652"/>
      <c r="E142" s="652"/>
      <c r="F142" s="652"/>
      <c r="G142" s="652"/>
      <c r="H142" s="652"/>
      <c r="I142" s="652"/>
      <c r="J142" s="652"/>
      <c r="K142" s="652"/>
      <c r="L142" s="657"/>
      <c r="M142" s="657"/>
      <c r="N142" s="657"/>
      <c r="O142" s="652"/>
      <c r="P142" s="652"/>
      <c r="Q142" s="652"/>
      <c r="R142" s="652"/>
      <c r="S142" s="652"/>
      <c r="T142" s="657"/>
      <c r="U142" s="657"/>
      <c r="V142" s="657"/>
      <c r="W142" s="652"/>
      <c r="X142" s="652"/>
      <c r="Y142" s="652"/>
      <c r="Z142" s="652"/>
      <c r="AA142" s="652"/>
      <c r="AB142" s="652"/>
      <c r="AC142" s="652"/>
      <c r="AD142" s="652"/>
      <c r="AE142" s="652"/>
      <c r="AF142" s="652"/>
      <c r="AG142" s="652"/>
      <c r="AH142" s="652"/>
      <c r="AI142" s="652"/>
      <c r="AJ142" s="652"/>
      <c r="AK142" s="652"/>
      <c r="AL142" s="652"/>
      <c r="AM142" s="652"/>
    </row>
    <row r="143" spans="1:39" hidden="1" x14ac:dyDescent="0.2">
      <c r="A143" s="652"/>
      <c r="B143" s="652"/>
      <c r="C143" s="652"/>
      <c r="D143" s="652"/>
      <c r="E143" s="652"/>
      <c r="F143" s="652"/>
      <c r="G143" s="652"/>
      <c r="H143" s="652"/>
      <c r="I143" s="652"/>
      <c r="J143" s="652"/>
      <c r="K143" s="652"/>
      <c r="L143" s="657"/>
      <c r="M143" s="657"/>
      <c r="N143" s="657"/>
      <c r="O143" s="652"/>
      <c r="P143" s="652"/>
      <c r="Q143" s="652"/>
      <c r="R143" s="652"/>
      <c r="S143" s="652"/>
      <c r="T143" s="657"/>
      <c r="U143" s="657"/>
      <c r="V143" s="657"/>
      <c r="W143" s="652"/>
      <c r="X143" s="652"/>
      <c r="Y143" s="652"/>
      <c r="Z143" s="652"/>
      <c r="AA143" s="652"/>
      <c r="AB143" s="652"/>
      <c r="AC143" s="652"/>
      <c r="AD143" s="652"/>
      <c r="AE143" s="652"/>
      <c r="AF143" s="652"/>
      <c r="AG143" s="652"/>
      <c r="AH143" s="652"/>
      <c r="AI143" s="652"/>
      <c r="AJ143" s="652"/>
      <c r="AK143" s="652"/>
      <c r="AL143" s="652"/>
      <c r="AM143" s="652"/>
    </row>
    <row r="144" spans="1:39" hidden="1" x14ac:dyDescent="0.2">
      <c r="A144" s="652"/>
      <c r="B144" s="652"/>
      <c r="C144" s="652"/>
      <c r="D144" s="652"/>
      <c r="E144" s="652"/>
      <c r="F144" s="652"/>
      <c r="G144" s="652"/>
      <c r="H144" s="652"/>
      <c r="I144" s="652"/>
      <c r="J144" s="652"/>
      <c r="K144" s="652"/>
      <c r="L144" s="657"/>
      <c r="M144" s="657"/>
      <c r="N144" s="657"/>
      <c r="O144" s="652"/>
      <c r="P144" s="652"/>
      <c r="Q144" s="652"/>
      <c r="R144" s="652"/>
      <c r="S144" s="652"/>
      <c r="T144" s="657"/>
      <c r="U144" s="657"/>
      <c r="V144" s="657"/>
      <c r="W144" s="652"/>
      <c r="X144" s="652"/>
      <c r="Y144" s="652"/>
      <c r="Z144" s="652"/>
      <c r="AA144" s="652"/>
      <c r="AB144" s="652"/>
      <c r="AC144" s="652"/>
      <c r="AD144" s="652"/>
      <c r="AE144" s="652"/>
      <c r="AF144" s="652"/>
      <c r="AG144" s="652"/>
      <c r="AH144" s="652"/>
      <c r="AI144" s="652"/>
      <c r="AJ144" s="652"/>
      <c r="AK144" s="652"/>
      <c r="AL144" s="652"/>
      <c r="AM144" s="652"/>
    </row>
    <row r="145" spans="1:39"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652"/>
      <c r="AF145" s="652"/>
      <c r="AG145" s="652"/>
      <c r="AH145" s="652"/>
      <c r="AI145" s="652"/>
      <c r="AJ145" s="652"/>
      <c r="AK145" s="652"/>
      <c r="AL145" s="652"/>
      <c r="AM145" s="652"/>
    </row>
    <row r="146" spans="1:39"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652"/>
      <c r="AF146" s="652"/>
      <c r="AG146" s="652"/>
      <c r="AH146" s="652"/>
      <c r="AI146" s="652"/>
      <c r="AJ146" s="652"/>
      <c r="AK146" s="652"/>
      <c r="AL146" s="652"/>
      <c r="AM146" s="652"/>
    </row>
    <row r="147" spans="1:39"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c r="AI148" s="652"/>
      <c r="AJ148" s="652"/>
      <c r="AK148" s="652"/>
      <c r="AL148" s="652"/>
      <c r="AM148" s="652"/>
    </row>
    <row r="149" spans="1:39" hidden="1" x14ac:dyDescent="0.2">
      <c r="A149" s="652"/>
      <c r="B149" s="652"/>
      <c r="C149" s="652"/>
      <c r="D149" s="652"/>
      <c r="E149" s="652"/>
      <c r="F149" s="652"/>
      <c r="G149" s="652"/>
      <c r="H149" s="652"/>
      <c r="I149" s="652"/>
      <c r="J149" s="652"/>
      <c r="K149" s="652"/>
      <c r="L149" s="652"/>
      <c r="M149" s="652"/>
      <c r="N149" s="652"/>
      <c r="O149" s="652"/>
      <c r="P149" s="652"/>
      <c r="Q149" s="652"/>
      <c r="R149" s="652"/>
      <c r="S149" s="652"/>
      <c r="T149" s="652"/>
      <c r="U149" s="652"/>
      <c r="V149" s="652"/>
      <c r="W149" s="652"/>
      <c r="X149" s="652"/>
      <c r="Y149" s="652"/>
      <c r="Z149" s="652"/>
      <c r="AA149" s="652"/>
      <c r="AB149" s="652"/>
      <c r="AC149" s="652"/>
      <c r="AD149" s="652"/>
      <c r="AE149" s="652"/>
      <c r="AF149" s="652"/>
      <c r="AG149" s="652"/>
      <c r="AH149" s="652"/>
      <c r="AI149" s="652"/>
      <c r="AJ149" s="652"/>
      <c r="AK149" s="652"/>
      <c r="AL149" s="652"/>
      <c r="AM149" s="652"/>
    </row>
    <row r="150" spans="1:39" hidden="1" x14ac:dyDescent="0.2">
      <c r="A150" s="652"/>
      <c r="B150" s="652"/>
      <c r="C150" s="652"/>
      <c r="D150" s="652"/>
      <c r="E150" s="652"/>
      <c r="F150" s="652"/>
      <c r="G150" s="652"/>
      <c r="H150" s="652"/>
      <c r="I150" s="652"/>
      <c r="J150" s="652"/>
      <c r="K150" s="652"/>
      <c r="L150" s="652"/>
      <c r="M150" s="652"/>
      <c r="N150" s="652"/>
      <c r="O150" s="652"/>
      <c r="P150" s="652"/>
      <c r="Q150" s="652"/>
      <c r="R150" s="652"/>
      <c r="S150" s="652"/>
      <c r="T150" s="652"/>
      <c r="U150" s="652"/>
      <c r="V150" s="652"/>
      <c r="W150" s="652"/>
      <c r="X150" s="652"/>
      <c r="Y150" s="652"/>
      <c r="Z150" s="652"/>
      <c r="AA150" s="652"/>
      <c r="AB150" s="652"/>
      <c r="AC150" s="652"/>
      <c r="AD150" s="652"/>
      <c r="AE150" s="652"/>
      <c r="AF150" s="652"/>
      <c r="AG150" s="652"/>
      <c r="AH150" s="652"/>
      <c r="AI150" s="652"/>
      <c r="AJ150" s="652"/>
      <c r="AK150" s="652"/>
      <c r="AL150" s="652"/>
      <c r="AM150" s="652"/>
    </row>
    <row r="151" spans="1:39" hidden="1" x14ac:dyDescent="0.2">
      <c r="A151" s="652"/>
      <c r="B151" s="652"/>
      <c r="C151" s="652"/>
      <c r="D151" s="652"/>
      <c r="E151" s="652"/>
      <c r="F151" s="652"/>
      <c r="G151" s="652"/>
      <c r="H151" s="652"/>
      <c r="I151" s="652"/>
      <c r="J151" s="652"/>
      <c r="K151" s="652"/>
      <c r="L151" s="652"/>
      <c r="M151" s="652"/>
      <c r="N151" s="652"/>
      <c r="O151" s="652"/>
      <c r="P151" s="652"/>
      <c r="Q151" s="652"/>
      <c r="R151" s="652"/>
      <c r="S151" s="652"/>
      <c r="T151" s="652"/>
      <c r="U151" s="652"/>
      <c r="V151" s="652"/>
      <c r="W151" s="652"/>
      <c r="X151" s="652"/>
      <c r="Y151" s="652"/>
      <c r="Z151" s="652"/>
      <c r="AA151" s="652"/>
      <c r="AB151" s="652"/>
      <c r="AC151" s="652"/>
      <c r="AD151" s="652"/>
      <c r="AE151" s="652"/>
      <c r="AF151" s="652"/>
      <c r="AG151" s="652"/>
      <c r="AH151" s="652"/>
      <c r="AI151" s="652"/>
      <c r="AJ151" s="652"/>
      <c r="AK151" s="652"/>
      <c r="AL151" s="652"/>
      <c r="AM151" s="652"/>
    </row>
    <row r="152" spans="1:39" hidden="1" x14ac:dyDescent="0.2">
      <c r="A152" s="652"/>
      <c r="B152" s="652"/>
      <c r="C152" s="652"/>
      <c r="D152" s="652"/>
      <c r="E152" s="652"/>
      <c r="F152" s="652"/>
      <c r="G152" s="652"/>
      <c r="H152" s="652"/>
      <c r="I152" s="652"/>
      <c r="J152" s="652"/>
      <c r="K152" s="652"/>
      <c r="L152" s="652"/>
      <c r="M152" s="652"/>
      <c r="N152" s="652"/>
      <c r="O152" s="652"/>
      <c r="P152" s="652"/>
      <c r="Q152" s="652"/>
      <c r="R152" s="652"/>
      <c r="S152" s="652"/>
      <c r="T152" s="652"/>
      <c r="U152" s="652"/>
      <c r="V152" s="652"/>
      <c r="W152" s="652"/>
      <c r="X152" s="652"/>
      <c r="Y152" s="652"/>
      <c r="Z152" s="652"/>
      <c r="AA152" s="652"/>
      <c r="AB152" s="652"/>
      <c r="AC152" s="652"/>
      <c r="AD152" s="652"/>
      <c r="AE152" s="652"/>
      <c r="AF152" s="652"/>
      <c r="AG152" s="652"/>
      <c r="AH152" s="652"/>
      <c r="AI152" s="652"/>
      <c r="AJ152" s="652"/>
      <c r="AK152" s="652"/>
      <c r="AL152" s="652"/>
      <c r="AM152" s="652"/>
    </row>
    <row r="153" spans="1:39" hidden="1" x14ac:dyDescent="0.2">
      <c r="A153" s="652"/>
      <c r="B153" s="652"/>
      <c r="C153" s="652"/>
      <c r="D153" s="652"/>
      <c r="E153" s="652"/>
      <c r="F153" s="652"/>
      <c r="G153" s="652"/>
      <c r="H153" s="652"/>
      <c r="I153" s="652"/>
      <c r="J153" s="652"/>
      <c r="K153" s="652"/>
      <c r="L153" s="652"/>
      <c r="M153" s="652"/>
      <c r="N153" s="652"/>
      <c r="O153" s="652"/>
      <c r="P153" s="652"/>
      <c r="Q153" s="652"/>
      <c r="R153" s="652"/>
      <c r="S153" s="652"/>
      <c r="T153" s="652"/>
      <c r="U153" s="652"/>
      <c r="V153" s="652"/>
      <c r="W153" s="652"/>
      <c r="X153" s="652"/>
      <c r="Y153" s="652"/>
      <c r="Z153" s="652"/>
      <c r="AA153" s="652"/>
      <c r="AB153" s="652"/>
      <c r="AC153" s="652"/>
      <c r="AD153" s="652"/>
      <c r="AE153" s="652"/>
      <c r="AF153" s="652"/>
      <c r="AG153" s="652"/>
      <c r="AH153" s="652"/>
      <c r="AI153" s="652"/>
      <c r="AJ153" s="652"/>
      <c r="AK153" s="652"/>
      <c r="AL153" s="652"/>
      <c r="AM153" s="652"/>
    </row>
    <row r="154" spans="1:39" hidden="1" x14ac:dyDescent="0.2">
      <c r="A154" s="652"/>
      <c r="B154" s="652"/>
      <c r="C154" s="652"/>
      <c r="D154" s="652"/>
      <c r="E154" s="652"/>
      <c r="F154" s="652"/>
      <c r="G154" s="652"/>
      <c r="H154" s="652"/>
      <c r="I154" s="652"/>
      <c r="J154" s="652"/>
      <c r="K154" s="652"/>
      <c r="L154" s="652"/>
      <c r="M154" s="652"/>
      <c r="N154" s="652"/>
      <c r="O154" s="652"/>
      <c r="P154" s="652"/>
      <c r="Q154" s="652"/>
      <c r="R154" s="652"/>
      <c r="S154" s="652"/>
      <c r="T154" s="652"/>
      <c r="U154" s="652"/>
      <c r="V154" s="652"/>
      <c r="W154" s="652"/>
      <c r="X154" s="652"/>
      <c r="Y154" s="652"/>
      <c r="Z154" s="652"/>
      <c r="AA154" s="652"/>
      <c r="AB154" s="652"/>
      <c r="AC154" s="652"/>
      <c r="AD154" s="652"/>
      <c r="AE154" s="652"/>
      <c r="AF154" s="652"/>
      <c r="AG154" s="652"/>
      <c r="AH154" s="652"/>
      <c r="AI154" s="652"/>
      <c r="AJ154" s="652"/>
      <c r="AK154" s="652"/>
      <c r="AL154" s="652"/>
      <c r="AM154" s="652"/>
    </row>
    <row r="155" spans="1:39" hidden="1" x14ac:dyDescent="0.2">
      <c r="A155" s="652"/>
      <c r="B155" s="652"/>
      <c r="C155" s="652"/>
      <c r="D155" s="652"/>
      <c r="E155" s="652"/>
      <c r="F155" s="652"/>
      <c r="G155" s="652"/>
      <c r="H155" s="652"/>
      <c r="I155" s="652"/>
      <c r="J155" s="652"/>
      <c r="K155" s="652"/>
      <c r="L155" s="652"/>
      <c r="M155" s="652"/>
      <c r="N155" s="652"/>
      <c r="O155" s="652"/>
      <c r="P155" s="652"/>
      <c r="Q155" s="652"/>
      <c r="R155" s="652"/>
      <c r="S155" s="652"/>
      <c r="T155" s="652"/>
      <c r="U155" s="652"/>
      <c r="V155" s="652"/>
      <c r="W155" s="652"/>
      <c r="X155" s="652"/>
      <c r="Y155" s="652"/>
      <c r="Z155" s="652"/>
      <c r="AA155" s="652"/>
      <c r="AB155" s="652"/>
      <c r="AC155" s="652"/>
      <c r="AD155" s="652"/>
      <c r="AE155" s="652"/>
      <c r="AF155" s="652"/>
      <c r="AG155" s="652"/>
      <c r="AH155" s="652"/>
      <c r="AI155" s="652"/>
      <c r="AJ155" s="652"/>
      <c r="AK155" s="652"/>
      <c r="AL155" s="652"/>
      <c r="AM155" s="652"/>
    </row>
    <row r="156" spans="1:39" hidden="1" x14ac:dyDescent="0.2">
      <c r="A156" s="652"/>
      <c r="B156" s="652"/>
      <c r="C156" s="652"/>
      <c r="D156" s="652"/>
      <c r="E156" s="652"/>
      <c r="F156" s="652"/>
      <c r="G156" s="652"/>
      <c r="H156" s="652"/>
      <c r="I156" s="652"/>
      <c r="J156" s="652"/>
      <c r="K156" s="652"/>
      <c r="L156" s="652"/>
      <c r="M156" s="652"/>
      <c r="N156" s="652"/>
      <c r="O156" s="652"/>
      <c r="P156" s="652"/>
      <c r="Q156" s="652"/>
      <c r="R156" s="652"/>
      <c r="S156" s="652"/>
      <c r="T156" s="652"/>
      <c r="U156" s="652"/>
      <c r="V156" s="652"/>
      <c r="W156" s="652"/>
      <c r="X156" s="652"/>
      <c r="Y156" s="652"/>
      <c r="Z156" s="652"/>
      <c r="AA156" s="652"/>
      <c r="AB156" s="652"/>
      <c r="AC156" s="652"/>
      <c r="AD156" s="652"/>
      <c r="AE156" s="652"/>
      <c r="AF156" s="652"/>
      <c r="AG156" s="652"/>
      <c r="AH156" s="652"/>
      <c r="AI156" s="652"/>
      <c r="AJ156" s="652"/>
      <c r="AK156" s="652"/>
      <c r="AL156" s="652"/>
      <c r="AM156" s="652"/>
    </row>
    <row r="157" spans="1:39" hidden="1" x14ac:dyDescent="0.2">
      <c r="A157" s="652"/>
      <c r="B157" s="652"/>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652"/>
      <c r="AK157" s="652"/>
      <c r="AL157" s="652"/>
      <c r="AM157" s="652"/>
    </row>
    <row r="158" spans="1:39" hidden="1" x14ac:dyDescent="0.2">
      <c r="A158" s="652"/>
      <c r="B158" s="652"/>
      <c r="C158" s="652"/>
      <c r="D158" s="652"/>
      <c r="E158" s="652"/>
      <c r="F158" s="652"/>
      <c r="G158" s="652"/>
      <c r="H158" s="652"/>
      <c r="I158" s="652"/>
      <c r="J158" s="652"/>
      <c r="K158" s="652"/>
      <c r="L158" s="652"/>
      <c r="M158" s="652"/>
      <c r="N158" s="652"/>
      <c r="O158" s="652"/>
      <c r="P158" s="652"/>
      <c r="Q158" s="652"/>
      <c r="R158" s="652"/>
      <c r="S158" s="652"/>
      <c r="T158" s="652"/>
      <c r="U158" s="652"/>
      <c r="V158" s="652"/>
      <c r="W158" s="652"/>
      <c r="X158" s="652"/>
      <c r="Y158" s="652"/>
      <c r="Z158" s="652"/>
      <c r="AA158" s="652"/>
      <c r="AB158" s="652"/>
      <c r="AC158" s="652"/>
      <c r="AD158" s="652"/>
      <c r="AE158" s="652"/>
      <c r="AF158" s="652"/>
      <c r="AG158" s="652"/>
      <c r="AH158" s="652"/>
      <c r="AI158" s="652"/>
      <c r="AJ158" s="652"/>
      <c r="AK158" s="652"/>
      <c r="AL158" s="652"/>
      <c r="AM158" s="652"/>
    </row>
    <row r="159" spans="1:39" hidden="1" x14ac:dyDescent="0.2">
      <c r="A159" s="652"/>
      <c r="B159" s="652"/>
      <c r="C159" s="652"/>
      <c r="D159" s="652"/>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652"/>
      <c r="AF159" s="652"/>
      <c r="AG159" s="652"/>
      <c r="AH159" s="652"/>
      <c r="AI159" s="652"/>
      <c r="AJ159" s="652"/>
      <c r="AK159" s="652"/>
      <c r="AL159" s="652"/>
      <c r="AM159" s="652"/>
    </row>
    <row r="160" spans="1:39" hidden="1" x14ac:dyDescent="0.2">
      <c r="A160" s="652"/>
      <c r="B160" s="652"/>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row>
    <row r="161" spans="1:39"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row>
    <row r="162" spans="1:39" hidden="1" x14ac:dyDescent="0.2">
      <c r="A162" s="652"/>
      <c r="B162" s="652"/>
      <c r="C162" s="652"/>
      <c r="D162" s="652"/>
      <c r="E162" s="652"/>
      <c r="F162" s="652"/>
      <c r="G162" s="652"/>
      <c r="H162" s="652"/>
      <c r="I162" s="652"/>
      <c r="J162" s="652"/>
      <c r="K162" s="652"/>
      <c r="L162" s="657"/>
      <c r="M162" s="657"/>
      <c r="N162" s="657"/>
      <c r="O162" s="652"/>
      <c r="P162" s="652"/>
      <c r="Q162" s="652"/>
      <c r="R162" s="652"/>
      <c r="S162" s="652"/>
      <c r="T162" s="657"/>
      <c r="U162" s="657"/>
      <c r="V162" s="657"/>
      <c r="W162" s="652"/>
      <c r="X162" s="652"/>
      <c r="Y162" s="652"/>
      <c r="Z162" s="652"/>
      <c r="AA162" s="652"/>
      <c r="AB162" s="652"/>
      <c r="AC162" s="652"/>
      <c r="AD162" s="652"/>
      <c r="AE162" s="652"/>
      <c r="AF162" s="652"/>
      <c r="AG162" s="652"/>
      <c r="AH162" s="652"/>
      <c r="AI162" s="652"/>
      <c r="AJ162" s="652"/>
      <c r="AK162" s="652"/>
      <c r="AL162" s="652"/>
      <c r="AM162" s="652"/>
    </row>
    <row r="163" spans="1:39" hidden="1" x14ac:dyDescent="0.2">
      <c r="A163" s="652"/>
      <c r="B163" s="652"/>
      <c r="C163" s="652"/>
      <c r="D163" s="652"/>
      <c r="E163" s="652"/>
      <c r="F163" s="652"/>
      <c r="G163" s="652"/>
      <c r="H163" s="652"/>
      <c r="I163" s="652"/>
      <c r="J163" s="652"/>
      <c r="K163" s="652"/>
      <c r="L163" s="657"/>
      <c r="M163" s="657"/>
      <c r="N163" s="657"/>
      <c r="O163" s="652"/>
      <c r="P163" s="652"/>
      <c r="Q163" s="652"/>
      <c r="R163" s="652"/>
      <c r="S163" s="652"/>
      <c r="T163" s="657"/>
      <c r="U163" s="657"/>
      <c r="V163" s="657"/>
      <c r="W163" s="652"/>
      <c r="X163" s="652"/>
      <c r="Y163" s="652"/>
      <c r="Z163" s="652"/>
      <c r="AA163" s="652"/>
      <c r="AB163" s="652"/>
      <c r="AC163" s="652"/>
      <c r="AD163" s="652"/>
      <c r="AE163" s="652"/>
      <c r="AF163" s="652"/>
      <c r="AG163" s="652"/>
      <c r="AH163" s="652"/>
      <c r="AI163" s="652"/>
      <c r="AJ163" s="652"/>
      <c r="AK163" s="652"/>
      <c r="AL163" s="652"/>
      <c r="AM163" s="652"/>
    </row>
    <row r="164" spans="1:39" hidden="1" x14ac:dyDescent="0.2">
      <c r="A164" s="652"/>
      <c r="B164" s="652"/>
      <c r="C164" s="652"/>
      <c r="D164" s="652"/>
      <c r="E164" s="652"/>
      <c r="F164" s="652"/>
      <c r="G164" s="652"/>
      <c r="H164" s="652"/>
      <c r="I164" s="652"/>
      <c r="J164" s="652"/>
      <c r="K164" s="652"/>
      <c r="L164" s="657"/>
      <c r="M164" s="657"/>
      <c r="N164" s="657"/>
      <c r="O164" s="652"/>
      <c r="P164" s="652"/>
      <c r="Q164" s="652"/>
      <c r="R164" s="652"/>
      <c r="S164" s="652"/>
      <c r="T164" s="657"/>
      <c r="U164" s="657"/>
      <c r="V164" s="657"/>
      <c r="W164" s="652"/>
      <c r="X164" s="652"/>
      <c r="Y164" s="652"/>
      <c r="Z164" s="652"/>
      <c r="AA164" s="652"/>
      <c r="AB164" s="652"/>
      <c r="AC164" s="652"/>
      <c r="AD164" s="652"/>
      <c r="AE164" s="652"/>
      <c r="AF164" s="652"/>
      <c r="AG164" s="652"/>
      <c r="AH164" s="652"/>
      <c r="AI164" s="652"/>
      <c r="AJ164" s="652"/>
      <c r="AK164" s="652"/>
      <c r="AL164" s="652"/>
      <c r="AM164" s="652"/>
    </row>
    <row r="165" spans="1:39" hidden="1" x14ac:dyDescent="0.2">
      <c r="A165" s="652"/>
      <c r="B165" s="652"/>
      <c r="C165" s="652"/>
      <c r="D165" s="652"/>
      <c r="E165" s="652"/>
      <c r="F165" s="652"/>
      <c r="G165" s="652"/>
      <c r="H165" s="652"/>
      <c r="I165" s="652"/>
      <c r="J165" s="652"/>
      <c r="K165" s="652"/>
      <c r="L165" s="657"/>
      <c r="M165" s="657"/>
      <c r="N165" s="657"/>
      <c r="O165" s="652"/>
      <c r="P165" s="652"/>
      <c r="Q165" s="652"/>
      <c r="R165" s="652"/>
      <c r="S165" s="652"/>
      <c r="T165" s="657"/>
      <c r="U165" s="657"/>
      <c r="V165" s="657"/>
      <c r="W165" s="652"/>
      <c r="X165" s="652"/>
      <c r="Y165" s="652"/>
      <c r="Z165" s="652"/>
      <c r="AA165" s="652"/>
      <c r="AB165" s="652"/>
      <c r="AC165" s="652"/>
      <c r="AD165" s="652"/>
      <c r="AE165" s="652"/>
      <c r="AF165" s="652"/>
      <c r="AG165" s="652"/>
      <c r="AH165" s="652"/>
      <c r="AI165" s="652"/>
      <c r="AJ165" s="652"/>
      <c r="AK165" s="652"/>
      <c r="AL165" s="652"/>
      <c r="AM165" s="652"/>
    </row>
    <row r="166" spans="1:39" hidden="1" x14ac:dyDescent="0.2">
      <c r="A166" s="652"/>
      <c r="B166" s="652"/>
      <c r="C166" s="652"/>
      <c r="D166" s="652"/>
      <c r="E166" s="652"/>
      <c r="F166" s="652"/>
      <c r="G166" s="652"/>
      <c r="H166" s="652"/>
      <c r="I166" s="652"/>
      <c r="J166" s="652"/>
      <c r="K166" s="652"/>
      <c r="L166" s="657"/>
      <c r="M166" s="657"/>
      <c r="N166" s="657"/>
      <c r="O166" s="652"/>
      <c r="P166" s="652"/>
      <c r="Q166" s="652"/>
      <c r="R166" s="652"/>
      <c r="S166" s="652"/>
      <c r="T166" s="657"/>
      <c r="U166" s="657"/>
      <c r="V166" s="657"/>
      <c r="W166" s="652"/>
      <c r="X166" s="652"/>
      <c r="Y166" s="652"/>
      <c r="Z166" s="652"/>
      <c r="AA166" s="652"/>
      <c r="AB166" s="652"/>
      <c r="AC166" s="652"/>
      <c r="AD166" s="652"/>
      <c r="AE166" s="652"/>
      <c r="AF166" s="652"/>
      <c r="AG166" s="652"/>
      <c r="AH166" s="652"/>
      <c r="AI166" s="652"/>
      <c r="AJ166" s="652"/>
      <c r="AK166" s="652"/>
      <c r="AL166" s="652"/>
      <c r="AM166" s="652"/>
    </row>
    <row r="167" spans="1:39" hidden="1" x14ac:dyDescent="0.2">
      <c r="A167" s="652"/>
      <c r="B167" s="652"/>
      <c r="C167" s="652"/>
      <c r="D167" s="652"/>
      <c r="E167" s="652"/>
      <c r="F167" s="652"/>
      <c r="G167" s="652"/>
      <c r="H167" s="652"/>
      <c r="I167" s="652"/>
      <c r="J167" s="652"/>
      <c r="K167" s="652"/>
      <c r="L167" s="657"/>
      <c r="M167" s="657"/>
      <c r="N167" s="657"/>
      <c r="O167" s="652"/>
      <c r="P167" s="652"/>
      <c r="Q167" s="652"/>
      <c r="R167" s="652"/>
      <c r="S167" s="652"/>
      <c r="T167" s="657"/>
      <c r="U167" s="657"/>
      <c r="V167" s="657"/>
      <c r="W167" s="652"/>
      <c r="X167" s="652"/>
      <c r="Y167" s="652"/>
      <c r="Z167" s="652"/>
      <c r="AA167" s="652"/>
      <c r="AB167" s="652"/>
      <c r="AC167" s="652"/>
      <c r="AD167" s="652"/>
      <c r="AE167" s="652"/>
      <c r="AF167" s="652"/>
      <c r="AG167" s="652"/>
      <c r="AH167" s="652"/>
      <c r="AI167" s="652"/>
      <c r="AJ167" s="652"/>
      <c r="AK167" s="652"/>
      <c r="AL167" s="652"/>
      <c r="AM167" s="652"/>
    </row>
    <row r="168" spans="1:39" hidden="1" x14ac:dyDescent="0.2">
      <c r="A168" s="652"/>
      <c r="B168" s="652"/>
      <c r="C168" s="652"/>
      <c r="D168" s="652"/>
      <c r="E168" s="652"/>
      <c r="F168" s="652"/>
      <c r="G168" s="652"/>
      <c r="H168" s="652"/>
      <c r="I168" s="652"/>
      <c r="J168" s="652"/>
      <c r="K168" s="652"/>
      <c r="L168" s="657"/>
      <c r="M168" s="657"/>
      <c r="N168" s="657"/>
      <c r="O168" s="652"/>
      <c r="P168" s="652"/>
      <c r="Q168" s="652"/>
      <c r="R168" s="652"/>
      <c r="S168" s="652"/>
      <c r="T168" s="657"/>
      <c r="U168" s="657"/>
      <c r="V168" s="657"/>
      <c r="W168" s="652"/>
      <c r="X168" s="652"/>
      <c r="Y168" s="652"/>
      <c r="Z168" s="652"/>
      <c r="AA168" s="652"/>
      <c r="AB168" s="652"/>
      <c r="AC168" s="652"/>
      <c r="AD168" s="652"/>
      <c r="AE168" s="652"/>
      <c r="AF168" s="652"/>
      <c r="AG168" s="652"/>
      <c r="AH168" s="652"/>
      <c r="AI168" s="652"/>
      <c r="AJ168" s="652"/>
      <c r="AK168" s="652"/>
      <c r="AL168" s="652"/>
      <c r="AM168" s="652"/>
    </row>
    <row r="169" spans="1:39" hidden="1" x14ac:dyDescent="0.2">
      <c r="A169" s="652"/>
      <c r="B169" s="652"/>
      <c r="C169" s="652"/>
      <c r="D169" s="652"/>
      <c r="E169" s="652"/>
      <c r="F169" s="652"/>
      <c r="G169" s="652"/>
      <c r="H169" s="652"/>
      <c r="I169" s="652"/>
      <c r="J169" s="652"/>
      <c r="K169" s="652"/>
      <c r="L169" s="657"/>
      <c r="M169" s="657"/>
      <c r="N169" s="657"/>
      <c r="O169" s="652"/>
      <c r="P169" s="652"/>
      <c r="Q169" s="652"/>
      <c r="R169" s="652"/>
      <c r="S169" s="652"/>
      <c r="T169" s="657"/>
      <c r="U169" s="657"/>
      <c r="V169" s="657"/>
      <c r="W169" s="652"/>
      <c r="X169" s="652"/>
      <c r="Y169" s="652"/>
      <c r="Z169" s="652"/>
      <c r="AA169" s="652"/>
      <c r="AB169" s="652"/>
      <c r="AC169" s="652"/>
      <c r="AD169" s="652"/>
      <c r="AE169" s="652"/>
      <c r="AF169" s="652"/>
      <c r="AG169" s="652"/>
      <c r="AH169" s="652"/>
      <c r="AI169" s="652"/>
      <c r="AJ169" s="652"/>
      <c r="AK169" s="652"/>
      <c r="AL169" s="652"/>
      <c r="AM169" s="652"/>
    </row>
    <row r="170" spans="1:39" hidden="1" x14ac:dyDescent="0.2">
      <c r="A170" s="652"/>
      <c r="B170" s="652"/>
      <c r="C170" s="652"/>
      <c r="D170" s="652"/>
      <c r="E170" s="652"/>
      <c r="F170" s="652"/>
      <c r="G170" s="652"/>
      <c r="H170" s="652"/>
      <c r="I170" s="652"/>
      <c r="J170" s="652"/>
      <c r="K170" s="652"/>
      <c r="L170" s="657"/>
      <c r="M170" s="657"/>
      <c r="N170" s="657"/>
      <c r="O170" s="652"/>
      <c r="P170" s="652"/>
      <c r="Q170" s="652"/>
      <c r="R170" s="652"/>
      <c r="S170" s="652"/>
      <c r="T170" s="657"/>
      <c r="U170" s="657"/>
      <c r="V170" s="657"/>
      <c r="W170" s="652"/>
      <c r="X170" s="652"/>
      <c r="Y170" s="652"/>
      <c r="Z170" s="652"/>
      <c r="AA170" s="652"/>
      <c r="AB170" s="652"/>
      <c r="AC170" s="652"/>
      <c r="AD170" s="652"/>
      <c r="AE170" s="652"/>
      <c r="AF170" s="652"/>
      <c r="AG170" s="652"/>
      <c r="AH170" s="652"/>
      <c r="AI170" s="652"/>
      <c r="AJ170" s="652"/>
      <c r="AK170" s="652"/>
      <c r="AL170" s="652"/>
      <c r="AM170" s="652"/>
    </row>
    <row r="171" spans="1:39" hidden="1" x14ac:dyDescent="0.2">
      <c r="A171" s="652"/>
      <c r="B171" s="652"/>
      <c r="C171" s="652"/>
      <c r="D171" s="652"/>
      <c r="E171" s="652"/>
      <c r="F171" s="652"/>
      <c r="G171" s="652"/>
      <c r="H171" s="652"/>
      <c r="I171" s="652"/>
      <c r="J171" s="652"/>
      <c r="K171" s="652"/>
      <c r="L171" s="657"/>
      <c r="M171" s="657"/>
      <c r="N171" s="657"/>
      <c r="O171" s="652"/>
      <c r="P171" s="652"/>
      <c r="Q171" s="652"/>
      <c r="R171" s="652"/>
      <c r="S171" s="652"/>
      <c r="T171" s="657"/>
      <c r="U171" s="657"/>
      <c r="V171" s="657"/>
      <c r="W171" s="652"/>
      <c r="X171" s="652"/>
      <c r="Y171" s="652"/>
      <c r="Z171" s="652"/>
      <c r="AA171" s="652"/>
      <c r="AB171" s="652"/>
      <c r="AC171" s="652"/>
      <c r="AD171" s="652"/>
      <c r="AE171" s="652"/>
      <c r="AF171" s="652"/>
      <c r="AG171" s="652"/>
      <c r="AH171" s="652"/>
      <c r="AI171" s="652"/>
      <c r="AJ171" s="652"/>
      <c r="AK171" s="652"/>
      <c r="AL171" s="652"/>
      <c r="AM171" s="652"/>
    </row>
    <row r="172" spans="1:39" hidden="1" x14ac:dyDescent="0.2">
      <c r="A172" s="652"/>
      <c r="B172" s="652"/>
      <c r="C172" s="652"/>
      <c r="D172" s="652"/>
      <c r="E172" s="652"/>
      <c r="F172" s="652"/>
      <c r="G172" s="652"/>
      <c r="H172" s="652"/>
      <c r="I172" s="652"/>
      <c r="J172" s="652"/>
      <c r="K172" s="652"/>
      <c r="L172" s="657"/>
      <c r="M172" s="657"/>
      <c r="N172" s="657"/>
      <c r="O172" s="652"/>
      <c r="P172" s="652"/>
      <c r="Q172" s="652"/>
      <c r="R172" s="652"/>
      <c r="S172" s="652"/>
      <c r="T172" s="657"/>
      <c r="U172" s="657"/>
      <c r="V172" s="657"/>
      <c r="W172" s="652"/>
      <c r="X172" s="652"/>
      <c r="Y172" s="652"/>
      <c r="Z172" s="652"/>
      <c r="AA172" s="652"/>
      <c r="AB172" s="652"/>
      <c r="AC172" s="652"/>
      <c r="AD172" s="652"/>
      <c r="AE172" s="652"/>
      <c r="AF172" s="652"/>
      <c r="AG172" s="652"/>
      <c r="AH172" s="652"/>
      <c r="AI172" s="652"/>
      <c r="AJ172" s="652"/>
      <c r="AK172" s="652"/>
      <c r="AL172" s="652"/>
      <c r="AM172" s="652"/>
    </row>
    <row r="173" spans="1:39" hidden="1" x14ac:dyDescent="0.2">
      <c r="A173" s="652"/>
      <c r="B173" s="652"/>
      <c r="C173" s="652"/>
      <c r="D173" s="652"/>
      <c r="E173" s="652"/>
      <c r="F173" s="652"/>
      <c r="G173" s="652"/>
      <c r="H173" s="652"/>
      <c r="I173" s="652"/>
      <c r="J173" s="652"/>
      <c r="K173" s="652"/>
      <c r="L173" s="657"/>
      <c r="M173" s="657"/>
      <c r="N173" s="657"/>
      <c r="O173" s="652"/>
      <c r="P173" s="652"/>
      <c r="Q173" s="652"/>
      <c r="R173" s="652"/>
      <c r="S173" s="652"/>
      <c r="T173" s="657"/>
      <c r="U173" s="657"/>
      <c r="V173" s="657"/>
      <c r="W173" s="652"/>
      <c r="X173" s="652"/>
      <c r="Y173" s="652"/>
      <c r="Z173" s="652"/>
      <c r="AA173" s="652"/>
      <c r="AB173" s="652"/>
      <c r="AC173" s="652"/>
      <c r="AD173" s="652"/>
      <c r="AE173" s="652"/>
      <c r="AF173" s="652"/>
      <c r="AG173" s="652"/>
      <c r="AH173" s="652"/>
      <c r="AI173" s="652"/>
      <c r="AJ173" s="652"/>
      <c r="AK173" s="652"/>
      <c r="AL173" s="652"/>
      <c r="AM173" s="652"/>
    </row>
    <row r="174" spans="1:39"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652"/>
      <c r="AF174" s="652"/>
      <c r="AG174" s="652"/>
      <c r="AH174" s="652"/>
      <c r="AI174" s="652"/>
      <c r="AJ174" s="652"/>
      <c r="AK174" s="652"/>
      <c r="AL174" s="652"/>
      <c r="AM174" s="652"/>
    </row>
    <row r="175" spans="1:39"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652"/>
      <c r="AF175" s="652"/>
      <c r="AG175" s="652"/>
      <c r="AH175" s="652"/>
      <c r="AI175" s="652"/>
      <c r="AJ175" s="652"/>
      <c r="AK175" s="652"/>
      <c r="AL175" s="652"/>
      <c r="AM175" s="652"/>
    </row>
    <row r="176" spans="1:39"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c r="AI284" s="652"/>
      <c r="AJ284" s="652"/>
      <c r="AK284" s="652"/>
      <c r="AL284" s="652"/>
      <c r="AM284" s="652"/>
    </row>
    <row r="285" spans="1:39" hidden="1" x14ac:dyDescent="0.2">
      <c r="D285" s="698"/>
      <c r="E285" s="698"/>
      <c r="F285" s="652"/>
      <c r="G285" s="652"/>
      <c r="H285" s="652"/>
      <c r="I285" s="652"/>
      <c r="J285" s="652"/>
      <c r="K285" s="652"/>
      <c r="L285" s="652"/>
      <c r="M285" s="652"/>
      <c r="N285" s="652"/>
      <c r="O285" s="652"/>
      <c r="P285" s="652"/>
      <c r="Q285" s="652"/>
      <c r="R285" s="652"/>
      <c r="S285" s="652"/>
      <c r="T285" s="652"/>
      <c r="U285" s="652"/>
      <c r="V285" s="652"/>
      <c r="W285" s="652"/>
      <c r="X285" s="652"/>
      <c r="Y285" s="652"/>
      <c r="Z285" s="652"/>
      <c r="AA285" s="652"/>
      <c r="AB285" s="652"/>
      <c r="AC285" s="652"/>
      <c r="AD285" s="652"/>
      <c r="AE285" s="652"/>
      <c r="AF285" s="652"/>
      <c r="AG285" s="652"/>
      <c r="AH285" s="652"/>
      <c r="AI285" s="652"/>
      <c r="AJ285" s="652"/>
      <c r="AK285" s="652"/>
      <c r="AL285" s="652"/>
      <c r="AM285" s="652"/>
    </row>
    <row r="286" spans="1:39" hidden="1" x14ac:dyDescent="0.2">
      <c r="D286" s="702"/>
      <c r="E286" s="702"/>
      <c r="F286" s="652"/>
      <c r="G286" s="652"/>
      <c r="H286" s="652"/>
      <c r="I286" s="652"/>
      <c r="J286" s="652"/>
      <c r="K286" s="652"/>
      <c r="L286" s="652"/>
      <c r="M286" s="652"/>
      <c r="N286" s="652"/>
      <c r="O286" s="652"/>
      <c r="P286" s="652"/>
      <c r="Q286" s="652"/>
      <c r="R286" s="652"/>
      <c r="S286" s="652"/>
      <c r="T286" s="652"/>
      <c r="U286" s="652"/>
      <c r="V286" s="652"/>
      <c r="W286" s="652"/>
      <c r="X286" s="652"/>
      <c r="Y286" s="652"/>
      <c r="Z286" s="652"/>
      <c r="AA286" s="652"/>
      <c r="AB286" s="652"/>
      <c r="AC286" s="652"/>
      <c r="AD286" s="652"/>
      <c r="AE286" s="652"/>
      <c r="AF286" s="652"/>
      <c r="AG286" s="652"/>
      <c r="AH286" s="652"/>
      <c r="AI286" s="652"/>
      <c r="AJ286" s="652"/>
      <c r="AK286" s="652"/>
      <c r="AL286" s="652"/>
      <c r="AM286" s="652"/>
    </row>
    <row r="287" spans="1:39" hidden="1" x14ac:dyDescent="0.2">
      <c r="D287" s="653"/>
      <c r="E287" s="653"/>
      <c r="F287" s="652"/>
      <c r="G287" s="652"/>
      <c r="H287" s="652"/>
      <c r="I287" s="652"/>
      <c r="J287" s="652"/>
      <c r="K287" s="652"/>
      <c r="L287" s="652"/>
      <c r="M287" s="652"/>
      <c r="N287" s="652"/>
      <c r="O287" s="652"/>
      <c r="P287" s="652"/>
      <c r="Q287" s="652"/>
      <c r="R287" s="652"/>
      <c r="S287" s="652"/>
      <c r="T287" s="652"/>
      <c r="U287" s="652"/>
      <c r="V287" s="652"/>
      <c r="W287" s="703"/>
      <c r="X287" s="652"/>
      <c r="Y287" s="652"/>
      <c r="Z287" s="652"/>
      <c r="AA287" s="652"/>
      <c r="AB287" s="652"/>
      <c r="AC287" s="652"/>
      <c r="AD287" s="652"/>
      <c r="AE287" s="652"/>
      <c r="AF287" s="652"/>
      <c r="AG287" s="652"/>
      <c r="AH287" s="652"/>
      <c r="AI287" s="652"/>
      <c r="AJ287" s="652"/>
      <c r="AK287" s="652"/>
      <c r="AL287" s="652"/>
      <c r="AM287" s="652"/>
    </row>
    <row r="288" spans="1:39" hidden="1" x14ac:dyDescent="0.2">
      <c r="D288" s="653"/>
      <c r="E288" s="653"/>
      <c r="F288" s="652"/>
      <c r="G288" s="652"/>
      <c r="H288" s="652"/>
      <c r="I288" s="652"/>
      <c r="J288" s="652"/>
      <c r="K288" s="652"/>
      <c r="L288" s="652"/>
      <c r="M288" s="652"/>
      <c r="N288" s="652"/>
      <c r="O288" s="652"/>
      <c r="P288" s="652"/>
      <c r="Q288" s="652"/>
      <c r="R288" s="652"/>
      <c r="S288" s="652"/>
      <c r="T288" s="652"/>
      <c r="U288" s="652"/>
      <c r="V288" s="652"/>
      <c r="W288" s="652"/>
      <c r="X288" s="652"/>
      <c r="Y288" s="652"/>
      <c r="Z288" s="652"/>
      <c r="AA288" s="652"/>
      <c r="AB288" s="652"/>
      <c r="AC288" s="652"/>
      <c r="AD288" s="652"/>
      <c r="AE288" s="652"/>
      <c r="AF288" s="652"/>
      <c r="AG288" s="652"/>
      <c r="AH288" s="652"/>
      <c r="AI288" s="652"/>
      <c r="AJ288" s="652"/>
      <c r="AK288" s="652"/>
      <c r="AL288" s="652"/>
      <c r="AM288" s="652"/>
    </row>
    <row r="289" spans="1:39" hidden="1" x14ac:dyDescent="0.2">
      <c r="D289" s="653"/>
      <c r="E289" s="653"/>
      <c r="F289" s="652"/>
      <c r="G289" s="652"/>
      <c r="H289" s="652"/>
      <c r="I289" s="652"/>
      <c r="J289" s="652"/>
      <c r="K289" s="652"/>
      <c r="L289" s="652"/>
      <c r="M289" s="652"/>
      <c r="N289" s="652"/>
      <c r="O289" s="652"/>
      <c r="P289" s="652"/>
      <c r="Q289" s="652"/>
      <c r="R289" s="652"/>
      <c r="S289" s="652"/>
      <c r="T289" s="652"/>
      <c r="U289" s="652"/>
      <c r="V289" s="652"/>
      <c r="W289" s="652"/>
      <c r="X289" s="652"/>
      <c r="Y289" s="652"/>
      <c r="Z289" s="652"/>
      <c r="AA289" s="652"/>
      <c r="AB289" s="652"/>
      <c r="AC289" s="652"/>
      <c r="AD289" s="652"/>
      <c r="AE289" s="652"/>
      <c r="AF289" s="652"/>
      <c r="AG289" s="652"/>
      <c r="AH289" s="652"/>
      <c r="AI289" s="652"/>
      <c r="AJ289" s="652"/>
      <c r="AK289" s="652"/>
      <c r="AL289" s="652"/>
      <c r="AM289" s="652"/>
    </row>
    <row r="290" spans="1:39" hidden="1" x14ac:dyDescent="0.2">
      <c r="D290" s="653"/>
      <c r="E290" s="653"/>
      <c r="F290" s="65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c r="AI290" s="652"/>
      <c r="AJ290" s="652"/>
      <c r="AK290" s="652"/>
      <c r="AL290" s="652"/>
      <c r="AM290" s="652"/>
    </row>
    <row r="291" spans="1:39" hidden="1" x14ac:dyDescent="0.2">
      <c r="D291" s="653"/>
      <c r="E291" s="653"/>
      <c r="F291" s="652"/>
      <c r="G291" s="652"/>
      <c r="H291" s="652"/>
      <c r="I291" s="652"/>
      <c r="J291" s="652"/>
      <c r="K291" s="652"/>
      <c r="L291" s="652"/>
      <c r="M291" s="652"/>
      <c r="N291" s="652"/>
      <c r="O291" s="652"/>
      <c r="P291" s="652"/>
      <c r="Q291" s="652"/>
      <c r="R291" s="652"/>
      <c r="S291" s="652"/>
      <c r="T291" s="652"/>
      <c r="U291" s="652"/>
      <c r="V291" s="652"/>
      <c r="W291" s="652"/>
      <c r="X291" s="652"/>
      <c r="Y291" s="652"/>
      <c r="Z291" s="652"/>
      <c r="AA291" s="652"/>
      <c r="AB291" s="652"/>
      <c r="AC291" s="652"/>
      <c r="AD291" s="652"/>
      <c r="AE291" s="652"/>
      <c r="AF291" s="652"/>
      <c r="AG291" s="652"/>
      <c r="AH291" s="652"/>
      <c r="AI291" s="652"/>
      <c r="AJ291" s="652"/>
      <c r="AK291" s="652"/>
      <c r="AL291" s="652"/>
      <c r="AM291" s="652"/>
    </row>
    <row r="292" spans="1:39" hidden="1" x14ac:dyDescent="0.2">
      <c r="D292" s="653"/>
      <c r="E292" s="653"/>
      <c r="F292" s="652"/>
      <c r="G292" s="652"/>
      <c r="H292" s="652"/>
      <c r="I292" s="652"/>
      <c r="J292" s="652"/>
      <c r="K292" s="652"/>
      <c r="L292" s="652"/>
      <c r="M292" s="652"/>
      <c r="N292" s="652"/>
      <c r="O292" s="652"/>
      <c r="P292" s="652"/>
      <c r="Q292" s="652"/>
      <c r="R292" s="652"/>
      <c r="S292" s="652"/>
      <c r="T292" s="652"/>
      <c r="U292" s="652"/>
      <c r="V292" s="652"/>
      <c r="W292" s="703"/>
      <c r="X292" s="652"/>
      <c r="Y292" s="652"/>
      <c r="Z292" s="652"/>
      <c r="AA292" s="652"/>
      <c r="AB292" s="652"/>
      <c r="AC292" s="652"/>
      <c r="AD292" s="652"/>
      <c r="AE292" s="652"/>
      <c r="AF292" s="652"/>
      <c r="AG292" s="652"/>
      <c r="AH292" s="652"/>
      <c r="AI292" s="652"/>
      <c r="AJ292" s="652"/>
      <c r="AK292" s="652"/>
      <c r="AL292" s="652"/>
      <c r="AM292" s="652"/>
    </row>
    <row r="293" spans="1:39" hidden="1" x14ac:dyDescent="0.2">
      <c r="D293" s="653"/>
      <c r="E293" s="653"/>
      <c r="F293" s="65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652"/>
      <c r="AI293" s="652"/>
      <c r="AJ293" s="652"/>
      <c r="AK293" s="652"/>
      <c r="AL293" s="652"/>
      <c r="AM293" s="652"/>
    </row>
    <row r="294" spans="1:39" hidden="1" x14ac:dyDescent="0.2">
      <c r="D294" s="653"/>
      <c r="E294" s="653"/>
      <c r="F294" s="652"/>
      <c r="G294" s="652"/>
      <c r="H294" s="652"/>
      <c r="I294" s="652"/>
      <c r="J294" s="652"/>
      <c r="K294" s="652"/>
      <c r="L294" s="652"/>
      <c r="M294" s="652"/>
      <c r="N294" s="652"/>
      <c r="O294" s="652"/>
      <c r="P294" s="652"/>
      <c r="Q294" s="652"/>
      <c r="R294" s="652"/>
      <c r="S294" s="652"/>
      <c r="T294" s="652"/>
      <c r="U294" s="652"/>
      <c r="V294" s="652"/>
      <c r="W294" s="652"/>
      <c r="X294" s="652"/>
      <c r="Y294" s="652"/>
      <c r="Z294" s="652"/>
      <c r="AA294" s="652"/>
      <c r="AB294" s="652"/>
      <c r="AC294" s="652"/>
      <c r="AD294" s="652"/>
      <c r="AE294" s="652"/>
      <c r="AF294" s="652"/>
      <c r="AG294" s="652"/>
      <c r="AH294" s="652"/>
      <c r="AI294" s="652"/>
      <c r="AJ294" s="652"/>
      <c r="AK294" s="652"/>
      <c r="AL294" s="652"/>
      <c r="AM294" s="652"/>
    </row>
    <row r="295" spans="1:39" hidden="1" x14ac:dyDescent="0.2">
      <c r="D295" s="653"/>
      <c r="E295" s="653"/>
      <c r="F295" s="652"/>
      <c r="G295" s="652"/>
      <c r="H295" s="652"/>
      <c r="I295" s="65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652"/>
      <c r="AF295" s="652"/>
      <c r="AG295" s="652"/>
      <c r="AH295" s="652"/>
      <c r="AI295" s="652"/>
      <c r="AJ295" s="652"/>
      <c r="AK295" s="652"/>
      <c r="AL295" s="652"/>
      <c r="AM295" s="652"/>
    </row>
    <row r="296" spans="1:39" hidden="1" x14ac:dyDescent="0.2">
      <c r="D296" s="652"/>
      <c r="E296" s="652"/>
      <c r="F296" s="652"/>
      <c r="G296" s="652"/>
      <c r="H296" s="652"/>
      <c r="I296" s="652"/>
      <c r="J296" s="652"/>
      <c r="K296" s="652"/>
      <c r="L296" s="652"/>
      <c r="M296" s="652"/>
      <c r="N296" s="652"/>
      <c r="O296" s="652"/>
      <c r="P296" s="652"/>
      <c r="Q296" s="652"/>
      <c r="R296" s="652"/>
      <c r="S296" s="652"/>
      <c r="T296" s="652"/>
      <c r="U296" s="652"/>
      <c r="V296" s="652"/>
      <c r="W296" s="652"/>
      <c r="X296" s="652"/>
      <c r="Y296" s="652"/>
      <c r="Z296" s="652"/>
      <c r="AA296" s="652"/>
      <c r="AB296" s="652"/>
      <c r="AC296" s="652"/>
      <c r="AD296" s="652"/>
      <c r="AE296" s="652"/>
      <c r="AF296" s="652"/>
      <c r="AG296" s="652"/>
      <c r="AH296" s="652"/>
      <c r="AI296" s="652"/>
      <c r="AJ296" s="652"/>
      <c r="AK296" s="652"/>
      <c r="AL296" s="652"/>
      <c r="AM296" s="652"/>
    </row>
    <row r="297" spans="1:39" hidden="1" x14ac:dyDescent="0.2">
      <c r="D297" s="652"/>
      <c r="E297" s="652"/>
      <c r="F297" s="65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652"/>
      <c r="AF297" s="652"/>
      <c r="AG297" s="652"/>
      <c r="AH297" s="652"/>
      <c r="AI297" s="652"/>
      <c r="AJ297" s="652"/>
      <c r="AK297" s="652"/>
      <c r="AL297" s="652"/>
      <c r="AM297" s="652"/>
    </row>
    <row r="298" spans="1:39" hidden="1" x14ac:dyDescent="0.2">
      <c r="D298" s="652"/>
      <c r="E298" s="652"/>
      <c r="F298" s="652"/>
      <c r="G298" s="652"/>
      <c r="H298" s="652"/>
      <c r="I298" s="652"/>
      <c r="J298" s="652"/>
      <c r="K298" s="652"/>
      <c r="L298" s="652"/>
      <c r="M298" s="652"/>
      <c r="N298" s="652"/>
      <c r="O298" s="652"/>
      <c r="P298" s="652"/>
      <c r="Q298" s="652"/>
      <c r="R298" s="652"/>
      <c r="S298" s="652"/>
      <c r="T298" s="652"/>
      <c r="U298" s="652"/>
      <c r="V298" s="652"/>
      <c r="W298" s="652"/>
      <c r="X298" s="652"/>
      <c r="Y298" s="652"/>
      <c r="Z298" s="652"/>
      <c r="AA298" s="652"/>
      <c r="AB298" s="652"/>
      <c r="AC298" s="652"/>
      <c r="AD298" s="652"/>
      <c r="AE298" s="652"/>
      <c r="AF298" s="652"/>
      <c r="AG298" s="652"/>
      <c r="AH298" s="652"/>
      <c r="AI298" s="652"/>
      <c r="AJ298" s="652"/>
      <c r="AK298" s="652"/>
      <c r="AL298" s="652"/>
      <c r="AM298" s="652"/>
    </row>
    <row r="299" spans="1:39" x14ac:dyDescent="0.2">
      <c r="A299" s="652"/>
      <c r="B299" s="652"/>
      <c r="C299" s="697"/>
    </row>
    <row r="300" spans="1:39" x14ac:dyDescent="0.2">
      <c r="A300" s="699">
        <v>1</v>
      </c>
      <c r="B300" s="700" t="str">
        <f t="shared" ref="B300:B309" si="14">IFERROR(INDEX(B$1:B$86,MATCH(A300,A$1:A$86,0)),"")</f>
        <v>Boriss Klubov, Elmo Lageda</v>
      </c>
      <c r="C300" s="701"/>
    </row>
    <row r="301" spans="1:39" x14ac:dyDescent="0.2">
      <c r="A301" s="699">
        <v>2</v>
      </c>
      <c r="B301" s="700" t="str">
        <f t="shared" si="14"/>
        <v>Karla Purgats, Kenneth Muusikus</v>
      </c>
      <c r="C301" s="701"/>
    </row>
    <row r="302" spans="1:39" x14ac:dyDescent="0.2">
      <c r="A302" s="699">
        <v>3</v>
      </c>
      <c r="B302" s="700" t="str">
        <f t="shared" si="14"/>
        <v>Andres Veski, Tõnu Piik</v>
      </c>
      <c r="C302" s="701"/>
    </row>
    <row r="303" spans="1:39" x14ac:dyDescent="0.2">
      <c r="A303" s="699">
        <v>4</v>
      </c>
      <c r="B303" s="700" t="str">
        <f t="shared" si="14"/>
        <v>Jaan Saar, Oleg Rõndenkov</v>
      </c>
      <c r="C303" s="701"/>
    </row>
    <row r="304" spans="1:39" x14ac:dyDescent="0.2">
      <c r="A304" s="699">
        <v>5</v>
      </c>
      <c r="B304" s="700" t="str">
        <f t="shared" si="14"/>
        <v>Jaan Sepp, Klavdia Piik</v>
      </c>
      <c r="C304" s="701"/>
    </row>
    <row r="305" spans="1:3" x14ac:dyDescent="0.2">
      <c r="A305" s="699">
        <v>6</v>
      </c>
      <c r="B305" s="700" t="str">
        <f t="shared" si="14"/>
        <v>Aarne Välja, Henri Mitt</v>
      </c>
      <c r="C305" s="701"/>
    </row>
    <row r="306" spans="1:3" x14ac:dyDescent="0.2">
      <c r="A306" s="699">
        <v>7</v>
      </c>
      <c r="B306" s="700" t="str">
        <f t="shared" si="14"/>
        <v>Andrei Grintšak, Melika Lehtla</v>
      </c>
      <c r="C306" s="701"/>
    </row>
    <row r="307" spans="1:3" x14ac:dyDescent="0.2">
      <c r="A307" s="699">
        <v>8</v>
      </c>
      <c r="B307" s="700" t="str">
        <f t="shared" si="14"/>
        <v>Enn Tokman, Illar Tõnurist</v>
      </c>
      <c r="C307" s="701"/>
    </row>
    <row r="308" spans="1:3" x14ac:dyDescent="0.2">
      <c r="A308" s="699">
        <v>9</v>
      </c>
      <c r="B308" s="700" t="str">
        <f t="shared" si="14"/>
        <v>Aulis Paal, Meelis Luud, Rein Allikas</v>
      </c>
      <c r="C308" s="701"/>
    </row>
    <row r="309" spans="1:3" ht="25.5" x14ac:dyDescent="0.2">
      <c r="A309" s="699">
        <v>10</v>
      </c>
      <c r="B309" s="700" t="str">
        <f t="shared" si="14"/>
        <v>Aleksander Korikov, Sandra Laura Nõmmeloo, Tarmo Bombe</v>
      </c>
      <c r="C309" s="701"/>
    </row>
  </sheetData>
  <conditionalFormatting sqref="C8:C17">
    <cfRule type="expression" dxfId="1514" priority="18">
      <formula>IF($C8&gt;$E8,TRUE)</formula>
    </cfRule>
  </conditionalFormatting>
  <conditionalFormatting sqref="E8:E17">
    <cfRule type="expression" dxfId="1513" priority="19">
      <formula>IF($C8&lt;$E8,TRUE)</formula>
    </cfRule>
  </conditionalFormatting>
  <conditionalFormatting sqref="K8:K17">
    <cfRule type="expression" dxfId="1512" priority="26">
      <formula>IF($K8&gt;$M8,TRUE)</formula>
    </cfRule>
  </conditionalFormatting>
  <conditionalFormatting sqref="M8:M17">
    <cfRule type="expression" dxfId="1511" priority="27">
      <formula>IF($K8&lt;$M8,TRUE)</formula>
    </cfRule>
  </conditionalFormatting>
  <conditionalFormatting sqref="O8:O17">
    <cfRule type="expression" dxfId="1510" priority="30">
      <formula>IF($O8&gt;$Q8,TRUE)</formula>
    </cfRule>
  </conditionalFormatting>
  <conditionalFormatting sqref="Q8:Q17">
    <cfRule type="expression" dxfId="1509" priority="31">
      <formula>IF($O8&lt;$Q8,TRUE)</formula>
    </cfRule>
  </conditionalFormatting>
  <conditionalFormatting sqref="S8:S17">
    <cfRule type="expression" dxfId="1508" priority="34">
      <formula>IF($S8&gt;$U8,TRUE)</formula>
    </cfRule>
  </conditionalFormatting>
  <conditionalFormatting sqref="U8:U17">
    <cfRule type="expression" dxfId="1507" priority="35">
      <formula>IF($S8&lt;$U8,TRUE)</formula>
    </cfRule>
  </conditionalFormatting>
  <conditionalFormatting sqref="G8:G17">
    <cfRule type="expression" dxfId="1506" priority="22">
      <formula>IF($G8&gt;$I8,TRUE)</formula>
    </cfRule>
  </conditionalFormatting>
  <conditionalFormatting sqref="I8:I17">
    <cfRule type="expression" dxfId="1505" priority="23">
      <formula>IF($G8&lt;$I8,TRUE)</formula>
    </cfRule>
  </conditionalFormatting>
  <conditionalFormatting sqref="F8:F17">
    <cfRule type="containsText" dxfId="1504" priority="9" operator="containsText" text="vaba voor">
      <formula>NOT(ISERROR(SEARCH("vaba voor",F8)))</formula>
    </cfRule>
  </conditionalFormatting>
  <conditionalFormatting sqref="N8:N17">
    <cfRule type="containsText" dxfId="1503" priority="7" operator="containsText" text="vaba voor">
      <formula>NOT(ISERROR(SEARCH("vaba voor",N8)))</formula>
    </cfRule>
  </conditionalFormatting>
  <conditionalFormatting sqref="R8:R17">
    <cfRule type="containsText" dxfId="1502" priority="10" operator="containsText" text="vaba voor">
      <formula>NOT(ISERROR(SEARCH("vaba voor",R8)))</formula>
    </cfRule>
  </conditionalFormatting>
  <conditionalFormatting sqref="V8:V17">
    <cfRule type="containsText" dxfId="1501" priority="6" operator="containsText" text="vaba voor">
      <formula>NOT(ISERROR(SEARCH("vaba voor",V8)))</formula>
    </cfRule>
  </conditionalFormatting>
  <conditionalFormatting sqref="J8:J17">
    <cfRule type="containsText" dxfId="1500" priority="8" operator="containsText" text="vaba voor">
      <formula>NOT(ISERROR(SEARCH("vaba voor",J8)))</formula>
    </cfRule>
  </conditionalFormatting>
  <conditionalFormatting sqref="C8:F17">
    <cfRule type="expression" dxfId="1499" priority="14">
      <formula>IF(AND(ISNUMBER($C8),$C8=$E8),TRUE)</formula>
    </cfRule>
    <cfRule type="expression" dxfId="1498" priority="16">
      <formula>IF($C8&gt;$E8,TRUE)</formula>
    </cfRule>
    <cfRule type="expression" dxfId="1497" priority="17">
      <formula>IF($C8&lt;$E8,TRUE)</formula>
    </cfRule>
  </conditionalFormatting>
  <conditionalFormatting sqref="G8:J17">
    <cfRule type="expression" dxfId="1496" priority="15">
      <formula>IF(AND(ISNUMBER($G8),$G8=$I8),TRUE)</formula>
    </cfRule>
    <cfRule type="expression" dxfId="1495" priority="20">
      <formula>IF($G8&gt;$I8,TRUE)</formula>
    </cfRule>
    <cfRule type="expression" dxfId="1494" priority="21">
      <formula>IF($G8&lt;$I8,TRUE)</formula>
    </cfRule>
  </conditionalFormatting>
  <conditionalFormatting sqref="K8:N17">
    <cfRule type="expression" dxfId="1493" priority="13">
      <formula>IF(AND(ISNUMBER($K8),$K8=$M8),TRUE)</formula>
    </cfRule>
    <cfRule type="expression" dxfId="1492" priority="24">
      <formula>IF($K8&gt;$M8,TRUE)</formula>
    </cfRule>
    <cfRule type="expression" dxfId="1491" priority="25">
      <formula>IF($K8&lt;$M8,TRUE)</formula>
    </cfRule>
  </conditionalFormatting>
  <conditionalFormatting sqref="O8:R17">
    <cfRule type="expression" dxfId="1490" priority="12">
      <formula>IF(AND(ISNUMBER($O8),$O8=$Q8),TRUE)</formula>
    </cfRule>
    <cfRule type="expression" dxfId="1489" priority="28">
      <formula>IF($O8&gt;$Q8,TRUE)</formula>
    </cfRule>
    <cfRule type="expression" dxfId="1488" priority="29">
      <formula>IF($O8&lt;$Q8,TRUE)</formula>
    </cfRule>
  </conditionalFormatting>
  <conditionalFormatting sqref="S8:V17">
    <cfRule type="expression" dxfId="1487" priority="11">
      <formula>IF(AND(ISNUMBER($S8),$S8=$U8),TRUE)</formula>
    </cfRule>
    <cfRule type="expression" dxfId="1486" priority="32">
      <formula>IF($S8&gt;$U8,TRUE)</formula>
    </cfRule>
    <cfRule type="expression" dxfId="1485" priority="33">
      <formula>IF($S8&lt;$U8,TRUE)</formula>
    </cfRule>
  </conditionalFormatting>
  <conditionalFormatting sqref="C8:C17 G8:G17 K8:K17 O8:O17 S8:S17">
    <cfRule type="expression" dxfId="1484" priority="4">
      <formula>AND(C8=0,E8=13)</formula>
    </cfRule>
  </conditionalFormatting>
  <conditionalFormatting sqref="E8:E17 I8:I17 M8:M17 Q8:Q17 U8:U17">
    <cfRule type="expression" dxfId="1483" priority="5">
      <formula>AND(E8=0,C8=13)</formula>
    </cfRule>
  </conditionalFormatting>
  <conditionalFormatting sqref="AF8:AF17 AJ8:AJ17 AL8:AL17">
    <cfRule type="expression" dxfId="1482" priority="1">
      <formula>AND(AE8="",COUNTIF(AF8,"*,*")=0)</formula>
    </cfRule>
  </conditionalFormatting>
  <conditionalFormatting sqref="AH8:AH17">
    <cfRule type="expression" dxfId="1481" priority="2">
      <formula>AND(AG8="",FIND(",",AH8))</formula>
    </cfRule>
    <cfRule type="expression" dxfId="1480" priority="3">
      <formula>AND(AG8="",COUNTIF(AH8,"*,*")=0)</formula>
    </cfRule>
  </conditionalFormatting>
  <conditionalFormatting sqref="A8:A17">
    <cfRule type="duplicateValues" dxfId="1479" priority="184"/>
  </conditionalFormatting>
  <conditionalFormatting sqref="A300:A309">
    <cfRule type="duplicateValues" dxfId="1478" priority="190"/>
  </conditionalFormatting>
  <conditionalFormatting sqref="B300:B309">
    <cfRule type="expression" dxfId="1477" priority="191">
      <formula>A300=3</formula>
    </cfRule>
    <cfRule type="expression" dxfId="1476" priority="192">
      <formula>A300=2</formula>
    </cfRule>
    <cfRule type="expression" dxfId="1475" priority="193">
      <formula>A300=1</formula>
    </cfRule>
    <cfRule type="containsBlanks" dxfId="1474" priority="194">
      <formula>LEN(TRIM(B300))=0</formula>
    </cfRule>
    <cfRule type="duplicateValues" dxfId="1473" priority="195"/>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N305"/>
  <sheetViews>
    <sheetView showGridLines="0" showRowColHeaders="0" zoomScaleNormal="100" workbookViewId="0">
      <pane ySplit="2" topLeftCell="A3" activePane="bottomLeft" state="frozen"/>
      <selection pane="bottomLeft" activeCell="H1" sqref="H1"/>
    </sheetView>
  </sheetViews>
  <sheetFormatPr defaultRowHeight="12.75" x14ac:dyDescent="0.2"/>
  <cols>
    <col min="1" max="1" width="3.28515625" customWidth="1"/>
    <col min="2" max="2" width="43.5703125" customWidth="1"/>
    <col min="3" max="10" width="6.7109375" customWidth="1"/>
    <col min="11" max="12" width="4.7109375" customWidth="1"/>
    <col min="13" max="13" width="5" customWidth="1"/>
    <col min="14" max="14" width="4.7109375" customWidth="1"/>
    <col min="15" max="15" width="5.5703125" hidden="1" customWidth="1"/>
    <col min="16" max="16" width="4.7109375" hidden="1" customWidth="1"/>
    <col min="17" max="17" width="5.28515625" hidden="1" customWidth="1"/>
    <col min="18" max="18" width="2.28515625" hidden="1" customWidth="1"/>
    <col min="19" max="19" width="7" hidden="1" customWidth="1"/>
    <col min="20" max="20" width="11.5703125" hidden="1" customWidth="1"/>
    <col min="21" max="21" width="5.28515625" hidden="1" customWidth="1"/>
    <col min="30" max="30" width="0" hidden="1" customWidth="1"/>
    <col min="31" max="31" width="14" hidden="1" customWidth="1"/>
    <col min="32" max="32" width="0" hidden="1" customWidth="1"/>
    <col min="33" max="33" width="17.28515625" hidden="1" customWidth="1"/>
    <col min="34" max="34" width="0" hidden="1" customWidth="1"/>
    <col min="35" max="35" width="18.7109375" hidden="1" customWidth="1"/>
    <col min="36" max="36" width="0" hidden="1" customWidth="1"/>
    <col min="37" max="37" width="17.28515625" hidden="1" customWidth="1"/>
    <col min="38" max="38" width="0" hidden="1" customWidth="1"/>
    <col min="39" max="39" width="13.85546875" hidden="1" customWidth="1"/>
    <col min="40" max="40" width="0" hidden="1" customWidth="1"/>
  </cols>
  <sheetData>
    <row r="1" spans="1:40" x14ac:dyDescent="0.2">
      <c r="A1" s="742" t="str">
        <f>UPPER((Kalend!E6)&amp;" - "&amp;(Kalend!C6)&amp;" - "&amp;(Kalend!D6))</f>
        <v>1 - K-JÄRVE 18. KV 1. ETAPP - TRIO</v>
      </c>
      <c r="D1" s="410" t="str">
        <f>HYPERLINK("#Kalend!I1","Kalender")</f>
        <v>Kalender</v>
      </c>
      <c r="E1" s="410"/>
      <c r="F1" s="654" t="str">
        <f>HYPERLINK("#V!AB1","Reiting")</f>
        <v>Reiting</v>
      </c>
      <c r="G1" s="655"/>
      <c r="L1" s="656"/>
      <c r="O1" s="511"/>
      <c r="P1" s="511"/>
      <c r="Q1" s="836" t="s">
        <v>181</v>
      </c>
      <c r="R1" s="511"/>
      <c r="S1" s="511"/>
      <c r="T1" s="511"/>
      <c r="U1" s="511"/>
      <c r="AD1" s="417" t="s">
        <v>181</v>
      </c>
      <c r="AE1" s="822"/>
      <c r="AF1" s="822"/>
      <c r="AG1" s="822"/>
      <c r="AH1" s="822"/>
      <c r="AI1" s="822"/>
      <c r="AJ1" s="822"/>
      <c r="AK1" s="822"/>
      <c r="AL1" s="822"/>
      <c r="AM1" s="822"/>
      <c r="AN1" s="822"/>
    </row>
    <row r="2" spans="1:40" x14ac:dyDescent="0.2">
      <c r="A2" s="659" t="str">
        <f>"Toimumisaeg: "&amp;(Kalend!A6)&amp;" kell "&amp;(Kalend!B6)</f>
        <v>Toimumisaeg: P, 05.05.2019 kell 11:00</v>
      </c>
      <c r="AD2" s="659"/>
      <c r="AE2" s="659"/>
      <c r="AF2" s="659"/>
      <c r="AG2" s="659"/>
      <c r="AH2" s="659"/>
      <c r="AI2" s="889"/>
      <c r="AJ2" s="659"/>
      <c r="AK2" s="659"/>
      <c r="AL2" s="659"/>
      <c r="AM2" s="659"/>
      <c r="AN2" s="659"/>
    </row>
    <row r="3" spans="1:40" x14ac:dyDescent="0.2">
      <c r="A3" s="659" t="str">
        <f>"Toimumiskoht: "&amp;(Kalend!F6)</f>
        <v>Toimumiskoht: K-Järve spordihoone</v>
      </c>
      <c r="AD3" s="823" t="s">
        <v>362</v>
      </c>
      <c r="AF3" s="659"/>
      <c r="AG3" s="659"/>
      <c r="AH3" s="659"/>
      <c r="AI3" s="659"/>
      <c r="AJ3" s="659"/>
      <c r="AK3" s="659"/>
      <c r="AL3" s="659"/>
      <c r="AM3" s="659"/>
      <c r="AN3" s="659"/>
    </row>
    <row r="4" spans="1:40" x14ac:dyDescent="0.2">
      <c r="A4" s="659" t="str">
        <f>"Korraldaja: "&amp;(Kalend!G6)</f>
        <v>Korraldaja: Ivar Viljaste</v>
      </c>
      <c r="AD4" s="824" t="s">
        <v>19</v>
      </c>
      <c r="AE4" s="825"/>
      <c r="AF4" s="825"/>
      <c r="AG4" s="825"/>
      <c r="AH4" s="825"/>
      <c r="AI4" s="825"/>
      <c r="AJ4" s="825"/>
      <c r="AK4" s="825"/>
      <c r="AL4" s="825"/>
      <c r="AM4" s="825"/>
      <c r="AN4" s="825"/>
    </row>
    <row r="5" spans="1:40" x14ac:dyDescent="0.2">
      <c r="AD5" s="824" t="s">
        <v>364</v>
      </c>
      <c r="AE5" s="826" t="s">
        <v>365</v>
      </c>
      <c r="AF5" s="826"/>
      <c r="AG5" s="826" t="s">
        <v>367</v>
      </c>
      <c r="AH5" s="826"/>
      <c r="AI5" s="826" t="s">
        <v>368</v>
      </c>
      <c r="AJ5" s="676"/>
      <c r="AK5" s="676" t="s">
        <v>515</v>
      </c>
      <c r="AL5" s="676"/>
      <c r="AM5" s="676" t="s">
        <v>516</v>
      </c>
      <c r="AN5" s="890"/>
    </row>
    <row r="6" spans="1:40" x14ac:dyDescent="0.2">
      <c r="A6" s="837"/>
      <c r="B6" s="838"/>
      <c r="C6" s="839">
        <v>1</v>
      </c>
      <c r="D6" s="839">
        <v>2</v>
      </c>
      <c r="E6" s="839">
        <v>3</v>
      </c>
      <c r="F6" s="839">
        <v>4</v>
      </c>
      <c r="G6" s="839">
        <v>5</v>
      </c>
      <c r="H6" s="839">
        <v>6</v>
      </c>
      <c r="I6" s="839" t="s">
        <v>482</v>
      </c>
      <c r="J6" s="840" t="s">
        <v>454</v>
      </c>
      <c r="K6" s="841" t="s">
        <v>483</v>
      </c>
      <c r="L6" s="842" t="s">
        <v>484</v>
      </c>
      <c r="M6" s="843" t="s">
        <v>485</v>
      </c>
      <c r="N6" s="843" t="s">
        <v>486</v>
      </c>
      <c r="O6" s="844" t="s">
        <v>487</v>
      </c>
      <c r="P6" s="844" t="s">
        <v>487</v>
      </c>
      <c r="Q6" s="845" t="s">
        <v>488</v>
      </c>
      <c r="R6" s="846" t="s">
        <v>312</v>
      </c>
      <c r="S6" s="846" t="b">
        <f>OR(AND(COUNTA(B7:B12)=3,COUNTA(C7:H12)=6),AND(COUNTA(B7:B12)=4,COUNTA(C7:H12)=12),AND(COUNTA(B7:B12)=5,COUNTA(C7:H12)=20),AND(COUNTA(B7:B12)=6,COUNTA(C7:H12)=30))</f>
        <v>1</v>
      </c>
      <c r="T6" s="847" t="s">
        <v>489</v>
      </c>
      <c r="U6" s="848" t="s">
        <v>490</v>
      </c>
      <c r="AD6" s="824" t="s">
        <v>376</v>
      </c>
      <c r="AE6" s="825"/>
      <c r="AF6" s="825"/>
      <c r="AG6" s="684"/>
      <c r="AH6" s="684"/>
      <c r="AI6" s="684"/>
      <c r="AJ6" s="684"/>
      <c r="AK6" s="684"/>
      <c r="AL6" s="684"/>
      <c r="AM6" s="684"/>
      <c r="AN6" s="684"/>
    </row>
    <row r="7" spans="1:40" x14ac:dyDescent="0.2">
      <c r="A7" s="837">
        <v>1</v>
      </c>
      <c r="B7" s="849" t="s">
        <v>491</v>
      </c>
      <c r="C7" s="850"/>
      <c r="D7" s="851">
        <v>6</v>
      </c>
      <c r="E7" s="852">
        <v>13</v>
      </c>
      <c r="F7" s="852">
        <v>9</v>
      </c>
      <c r="G7" s="852">
        <v>13</v>
      </c>
      <c r="H7" s="852">
        <v>13</v>
      </c>
      <c r="I7" s="853" t="str">
        <f>(IF(D7-C8&gt;0,1)+IF(E7-C9&gt;0,1)+IF(F7-C10&gt;0,1)+IF(G7-C11&gt;0,1)+IF(H7-C12&gt;0,1))&amp;"-"&amp;(IF(D7-C8&lt;0,1)+IF(E7-C9&lt;0,1)+IF(F7-C10&lt;0,1)+IF(G7-C11&lt;0,1)+IF(H7-C12&lt;0,1))</f>
        <v>3-2</v>
      </c>
      <c r="J7" s="852" t="str">
        <f t="shared" ref="J7:J12" si="0">IF(AND(B7&lt;&gt;"",S$6=TRUE),A$6&amp;RANK(T7,T$7:T$12,0)," ")</f>
        <v>3</v>
      </c>
      <c r="K7" s="854">
        <f>IF(AND(R7=1,R8=1,D7&gt;C8),1)+IF(AND(R7=1,R9=1,E7&gt;C9),1)+IF(AND(R7=1,R10=1,F7&gt;C10),1)+IF(AND(R7=1,R11=1,G7&gt;C11),1)+IF(AND(R7=1,R12=1,H7&gt;C12),1)+IF(AND(R7=2,R8=2,D7&gt;C8),1)+IF(AND(R7=2,R9=2,E7&gt;C9),1)+IF(AND(R7=2,R10=2,F7&gt;C10),1)+IF(AND(R7=2,R11=2,G7&gt;C11),1)+IF(AND(R7=2,R12=2,H7&gt;C12),1)+IF(AND(R7=3,R8=3,D7&gt;C8),1)+IF(AND(R7=3,R9=3,E7&gt;C9),1)+IF(AND(R7=3,R10=3,F7&gt;C10),1)+IF(AND(R7=3,R11=3,G7&gt;C11),1)+IF(AND(R7=3,R12=3,H7&gt;C12),1)+IF(AND(R7=4,R8=4,D7&gt;C8),1)+IF(AND(R7=4,R9=4,E7&gt;C9),1)+IF(AND(R7=4,R10=4,F7&gt;C10),1)+IF(AND(R7=4,R11=4,G7&gt;C11),1)+IF(AND(R7=4,R12=4,H7&gt;C12),1)</f>
        <v>0</v>
      </c>
      <c r="L7" s="855">
        <f>SUM(AND(U7=U8,D7&gt;C8),AND(U7=U9,E7&gt;C9),AND(U7=U10,F7&gt;C10),AND(U7=U11,G7&gt;C11),AND(U7=U12,H7&gt;C12))</f>
        <v>0</v>
      </c>
      <c r="M7" s="856">
        <f>IF(AND(R7=1,R8=1),D7-C8)+IF(AND(R7=1,R9=1),E7-C9)+IF(AND(R7=1,R10=1),F7-C10)+IF(AND(R7=1,R11=1),G7-C11)+IF(AND(R7=1,R12=1),H7-C12)+IF(AND(R7=2,R8=2),D7-C8)+IF(AND(R7=2,R9=2),E7-C9)+IF(AND(R7=2,R10=2),F7-C10)+IF(AND(R7=2,R11=2),G7-C11)+IF(AND(R7=2,R12=2),H7-C12)+IF(AND(R7=3,R8=3),D7-C8)+IF(AND(R7=3,R9=3),E7-C9)+IF(AND(R7=3,R10=3),F7-C10)+IF(AND(R7=3,R11=3),G7-C11)+IF(AND(R7=3,R12=3),H7-C12)+IF(AND(R7=4,R8=4),D7-C8)+IF(AND(R7=4,R9=4),E7-C9)+IF(AND(R7=4,R10=4),F7-C10)+IF(AND(R7=4,R11=4),G7-C11)+IF(AND(R7=4,R12=4),H7-C12)</f>
        <v>-7</v>
      </c>
      <c r="N7" s="857">
        <f>SUM(AND(S7=S8,D7&gt;C8),AND(S7=S9,E7&gt;C9),AND(S7=S10,F7&gt;C10),AND(S7=S11,G7&gt;C11),AND(S7=S12,H7&gt;C12))</f>
        <v>0</v>
      </c>
      <c r="O7" s="858" t="str">
        <f>SUM(C7:H7)&amp;"-"&amp;SUM(C7:C12)</f>
        <v>54-52</v>
      </c>
      <c r="P7" s="859">
        <f>D7+E7+F7+G7+H7-C8-C9-C10-C11-C12</f>
        <v>2</v>
      </c>
      <c r="Q7" s="860">
        <f t="shared" ref="Q7:Q12" si="1">IFERROR(SUM(C7:H7,C$7:C$12)/SUM(C$7:C$12),"")</f>
        <v>2.0384615384615383</v>
      </c>
      <c r="R7" s="861">
        <f t="shared" ref="R7:R12" si="2">VALUE(LEFT(I7,1))</f>
        <v>3</v>
      </c>
      <c r="S7" s="862">
        <f t="shared" ref="S7:S12" si="3">R7*100000+K7*10000+L7*1000+100+M7</f>
        <v>300093</v>
      </c>
      <c r="T7" s="863">
        <f t="shared" ref="T7:T12" si="4">S7+N7*0.1+0.01+0.0001*P7</f>
        <v>300093.01020000002</v>
      </c>
      <c r="U7" s="864" t="str">
        <f t="shared" ref="U7:U12" si="5">R7&amp;K7</f>
        <v>30</v>
      </c>
      <c r="AD7" s="676">
        <f t="shared" ref="AD7:AD12" ca="1" si="6">SUM(AF7:AN7)</f>
        <v>484</v>
      </c>
      <c r="AE7" s="829" t="str">
        <f t="shared" ref="AE7:AE12" si="7">IFERROR(LEFT($B7,(FIND(",",$B7,1)-1)),"")</f>
        <v>Aarne Välja</v>
      </c>
      <c r="AF7" s="830">
        <f ca="1">IFERROR(INDEX(Reit!$I:$I,MATCH(AE7,Reit!$F:$F,0)),"")</f>
        <v>196</v>
      </c>
      <c r="AG7" s="829" t="str">
        <f t="shared" ref="AG7:AG12" si="8">IFERROR(MID($B7,FIND("^",SUBSTITUTE($B7,", ","^",1))+2,FIND("^",SUBSTITUTE($B7,", ","^",2))-FIND("^",SUBSTITUTE($B7,", ","^",1))-2),"")</f>
        <v>Janek Tarto</v>
      </c>
      <c r="AH7" s="830">
        <f ca="1">IFERROR(INDEX(Reit!$I:$I,MATCH(AG7,Reit!$F:$F,0)),"")</f>
        <v>224</v>
      </c>
      <c r="AI7" s="829" t="str">
        <f t="shared" ref="AI7:AI12" si="9">IFERROR(MID($B7,FIND(", ",$B7,FIND(", ",$B7,FIND(", ",$B7))+1)+2,30000),"")</f>
        <v>Romek Tarto</v>
      </c>
      <c r="AJ7" s="830">
        <f ca="1">IFERROR(INDEX(Reit!$I:$I,MATCH(AI7,Reit!$F:$F,0)),"")</f>
        <v>64</v>
      </c>
      <c r="AK7" s="891" t="str">
        <f t="shared" ref="AK7:AK12" si="10">IFERROR(MID($B7,FIND(", ",$B7,FIND(", ",$B7)+1)+2,FIND(", ",$B7,FIND(", ",$B7,FIND(", ",$B7)+1)+1)-FIND(", ",$B7,FIND(", ",$B7)+1)-2),"")</f>
        <v/>
      </c>
      <c r="AL7" s="830" t="str">
        <f>IFERROR(INDEX(Reit!$I:$I,MATCH(AK7,Reit!$F:$F,0)),"")</f>
        <v/>
      </c>
      <c r="AM7" s="829" t="str">
        <f t="shared" ref="AM7:AM12" si="11">IFERROR(MID($B7,FIND(", ",$B7,FIND(", ",$B7,FIND(", ",$B7)+1)+1)+2,30000),"")</f>
        <v/>
      </c>
      <c r="AN7" s="830" t="str">
        <f>IFERROR(INDEX(Reit!$I:$I,MATCH(AM7,Reit!$F:$F,0)),"")</f>
        <v/>
      </c>
    </row>
    <row r="8" spans="1:40" x14ac:dyDescent="0.2">
      <c r="A8" s="837">
        <v>2</v>
      </c>
      <c r="B8" s="865" t="s">
        <v>492</v>
      </c>
      <c r="C8" s="851">
        <v>13</v>
      </c>
      <c r="D8" s="850"/>
      <c r="E8" s="852">
        <v>7</v>
      </c>
      <c r="F8" s="852">
        <v>13</v>
      </c>
      <c r="G8" s="852">
        <v>13</v>
      </c>
      <c r="H8" s="852">
        <v>10</v>
      </c>
      <c r="I8" s="853" t="str">
        <f>(IF(C8-D7&gt;0,1)+IF(E8-D9&gt;0,1)+IF(F8-D10&gt;0,1)+IF(G8-D11&gt;0,1)+IF(H8-D12&gt;0,1))&amp;"-"&amp;(IF(C8-D7&lt;0,1)+IF(E8-D9&lt;0,1)+IF(F8-D10&lt;0,1)+IF(G8-D11&lt;0,1)+IF(H8-D12&lt;0,1))</f>
        <v>3-2</v>
      </c>
      <c r="J8" s="852" t="str">
        <f t="shared" si="0"/>
        <v>2</v>
      </c>
      <c r="K8" s="866">
        <f>IF(AND(R8=1,R7=1,C8&gt;D7),1)+IF(AND(R8=1,R9=1,E8&gt;D9),1)+IF(AND(R8=1,R10=1,F8&gt;D10),1)+IF(AND(R8=1,R11=1,G8&gt;D11),1)+IF(AND(R8=1,R12=1,H8&gt;D12),1)+IF(AND(R8=2,R7=2,C8&gt;D7),1)+IF(AND(R8=2,R9=2,E8&gt;D9),1)+IF(AND(R8=2,R10=2,F8&gt;D10),1)+IF(AND(R8=2,R11=2,G8&gt;D11),1)+IF(AND(R8=2,R12=2,H8&gt;D12),1)+IF(AND(R8=3,R7=3,C8&gt;D7),1)+IF(AND(R8=3,R9=3,E8&gt;D9),1)+IF(AND(R8=3,R10=3,F8&gt;D10),1)+IF(AND(R8=3,R11=3,G8&gt;D11),1)+IF(AND(R8=3,R12=3,H8&gt;D12),1)+IF(AND(R8=4,R7=4,C8&gt;D7),1)+IF(AND(R8=4,R9=4,E8&gt;D9),1)+IF(AND(R8=4,R10=4,F8&gt;D10),1)+IF(AND(R8=4,R11=4,G8&gt;D11),1)+IF(AND(R8=4,R12=4,H8&gt;D12),1)</f>
        <v>1</v>
      </c>
      <c r="L8" s="857">
        <f>SUM(AND(U8=U7,C8&gt;D7),AND(U8=U9,E8&gt;D9),AND(U8=U10,F8&gt;D10),AND(U8=U11,G8&gt;D11),AND(U8=U12,H8&gt;D12))</f>
        <v>0</v>
      </c>
      <c r="M8" s="867">
        <f>IF(AND(R8=1,R7=1),C8-D7)+IF(AND(R8=1,R9=1),E8-D9)+IF(AND(R8=1,R10=1),F8-D10)+IF(AND(R8=1,R11=1),G8-D11)+IF(AND(R8=1,R12=1),H8-D12)+IF(AND(R8=2,R7=2),C8-D7)+IF(AND(R8=2,R9=2),E8-D9)+IF(AND(R8=2,R10=2),F8-D10)+IF(AND(R8=2,R11=2),G8-D11)+IF(AND(R8=2,R12=2),H8-D12)+IF(AND(R8=3,R7=3),C8-D7)+IF(AND(R8=3,R9=3),E8-D9)+IF(AND(R8=3,R10=3),F8-D10)+IF(AND(R8=3,R11=3),G8-D11)+IF(AND(R8=3,R12=3),H8-D12)+IF(AND(R8=4,R7=4),C8-D7)+IF(AND(R8=4,R9=4),E8-D9)+IF(AND(R8=4,R10=4),F8-D10)+IF(AND(R8=4,R11=4),G8-D11)+IF(AND(R8=4,R12=4),H8-D12)</f>
        <v>7</v>
      </c>
      <c r="N8" s="857">
        <f>SUM(AND(S8=S7,C8&gt;D7),AND(S8=S9,E8&gt;D9),AND(S8=S10,F8&gt;D10),AND(S8=S11,G8&gt;D11),AND(S8=S12,H8&gt;D12))</f>
        <v>0</v>
      </c>
      <c r="O8" s="858" t="str">
        <f>SUM(C8:H8)&amp;"-"&amp;SUM(D7:D12)</f>
        <v>56-39</v>
      </c>
      <c r="P8" s="859">
        <f>C8+E8+F8+G8+H8-D7-D9-D10-D11-D12</f>
        <v>17</v>
      </c>
      <c r="Q8" s="860">
        <f t="shared" si="1"/>
        <v>2.0769230769230771</v>
      </c>
      <c r="R8" s="868">
        <f t="shared" si="2"/>
        <v>3</v>
      </c>
      <c r="S8" s="862">
        <f t="shared" si="3"/>
        <v>310107</v>
      </c>
      <c r="T8" s="863">
        <f t="shared" si="4"/>
        <v>310107.01170000003</v>
      </c>
      <c r="U8" s="864" t="str">
        <f t="shared" si="5"/>
        <v>31</v>
      </c>
      <c r="AD8" s="676">
        <f t="shared" ca="1" si="6"/>
        <v>868</v>
      </c>
      <c r="AE8" s="829" t="str">
        <f t="shared" si="7"/>
        <v>Jaan Sepp</v>
      </c>
      <c r="AF8" s="830">
        <f ca="1">IFERROR(INDEX(Reit!$I:$I,MATCH(AE8,Reit!$F:$F,0)),"")</f>
        <v>310</v>
      </c>
      <c r="AG8" s="829" t="str">
        <f t="shared" si="8"/>
        <v>Mait Metsla</v>
      </c>
      <c r="AH8" s="830">
        <f ca="1">IFERROR(INDEX(Reit!$I:$I,MATCH(AG8,Reit!$F:$F,0)),"")</f>
        <v>228</v>
      </c>
      <c r="AI8" s="829" t="str">
        <f t="shared" si="9"/>
        <v>Oskar Sepp</v>
      </c>
      <c r="AJ8" s="830">
        <f ca="1">IFERROR(INDEX(Reit!$I:$I,MATCH(AI8,Reit!$F:$F,0)),"")</f>
        <v>330</v>
      </c>
      <c r="AK8" s="891" t="str">
        <f t="shared" si="10"/>
        <v/>
      </c>
      <c r="AL8" s="830" t="str">
        <f>IFERROR(INDEX(Reit!$I:$I,MATCH(AK8,Reit!$F:$F,0)),"")</f>
        <v/>
      </c>
      <c r="AM8" s="829" t="str">
        <f t="shared" si="11"/>
        <v/>
      </c>
      <c r="AN8" s="830" t="str">
        <f>IFERROR(INDEX(Reit!$I:$I,MATCH(AM8,Reit!$F:$F,0)),"")</f>
        <v/>
      </c>
    </row>
    <row r="9" spans="1:40" x14ac:dyDescent="0.2">
      <c r="A9" s="837">
        <v>3</v>
      </c>
      <c r="B9" s="865" t="s">
        <v>493</v>
      </c>
      <c r="C9" s="852">
        <v>9</v>
      </c>
      <c r="D9" s="869">
        <v>13</v>
      </c>
      <c r="E9" s="850"/>
      <c r="F9" s="852">
        <v>13</v>
      </c>
      <c r="G9" s="852">
        <v>13</v>
      </c>
      <c r="H9" s="852">
        <v>13</v>
      </c>
      <c r="I9" s="853" t="str">
        <f>(IF(C9-E7&gt;0,1)+IF(D9-E8&gt;0,1)+IF(F9-E10&gt;0,1)+IF(G9-E11&gt;0,1)+IF(H9-E12&gt;0,1))&amp;"-"&amp;(IF(C9-E7&lt;0,1)+IF(D9-E8&lt;0,1)+IF(F9-E10&lt;0,1)+IF(G9-E11&lt;0,1)+IF(H9-E12&lt;0,1))</f>
        <v>4-1</v>
      </c>
      <c r="J9" s="852" t="str">
        <f t="shared" si="0"/>
        <v>1</v>
      </c>
      <c r="K9" s="866">
        <f>IF(AND(R9=1,R7=1,C9&gt;E7),1)+IF(AND(R9=1,R8=1,D9&gt;E8),1)+IF(AND(R9=1,R10=1,F9&gt;E10),1)+IF(AND(R9=1,R11=1,G9&gt;E11),1)+IF(AND(R9=1,R12=1,H9&gt;E12),1)+IF(AND(R9=2,R7=2,C9&gt;E7),1)+IF(AND(R9=2,R8=2,D9&gt;E8),1)+IF(AND(R9=2,R10=2,F9&gt;E10),1)+IF(AND(R9=2,R11=2,G9&gt;E11),1)+IF(AND(R9=2,R12=2,H9&gt;E12),1)+IF(AND(R9=3,R7=3,C9&gt;E7),1)+IF(AND(R9=3,R8=3,D9&gt;E8),1)+IF(AND(R9=3,R10=3,F9&gt;E10),1)+IF(AND(R9=3,R11=3,G9&gt;E11),1)+IF(AND(R9=3,R12=3,H9&gt;E12),1)+IF(AND(R9=4,R7=4,C9&gt;E7),1)+IF(AND(R9=4,R8=4,D9&gt;E8),1)+IF(AND(R9=4,R10=4,F9&gt;E10),1)+IF(AND(R9=4,R11=4,G9&gt;E11),1)+IF(AND(R9=4,R12=4,H9&gt;E12),1)</f>
        <v>0</v>
      </c>
      <c r="L9" s="857">
        <f>SUM(AND(U9=U7,C9&gt;E7),AND(U9=U8,D9&gt;E8),AND(U9=U10,F9&gt;E10),AND(U9=U11,G9&gt;E11),AND(U9=U12,H9&gt;E12))</f>
        <v>0</v>
      </c>
      <c r="M9" s="867">
        <f>IF(AND(R9=1,R7=1),C9-E7)+IF(AND(R9=1,R8=1),D9-E8)+IF(AND(R9=1,R10=1),F9-E10)+IF(AND(R9=1,R11=1),G9-E11)+IF(AND(R9=1,R12=1),H9-E12)+IF(AND(R9=2,R7=2),C9-E7)+IF(AND(R9=2,R8=2),D9-E8)+IF(AND(R9=2,R10=2),F9-E10)+IF(AND(R9=2,R11=2),G9-E11)+IF(AND(R9=2,R12=2),H9-E12)+IF(AND(R9=3,R7=3),C9-E7)+IF(AND(R9=3,R8=3),D9-E8)+IF(AND(R9=3,R10=3),F9-E10)+IF(AND(R9=3,R11=3),G9-E11)+IF(AND(R9=3,R12=3),H9-E12)+IF(AND(R9=4,R7=4),C9-E7)+IF(AND(R9=4,R8=4),D9-E8)+IF(AND(R9=4,R10=4),F9-E10)+IF(AND(R9=4,R11=4),G9-E11)+IF(AND(R9=4,R12=4),H9-E12)</f>
        <v>0</v>
      </c>
      <c r="N9" s="857">
        <f>SUM(AND(S9=S7,C9&gt;E7),AND(S9=S8,D9&gt;E8),AND(S9=S10,F9&gt;E10),AND(S9=S11,G9&gt;E11),AND(S9=S12,H9&gt;E12))</f>
        <v>0</v>
      </c>
      <c r="O9" s="858" t="str">
        <f>SUM(C9:H9)&amp;"-"&amp;SUM(E7:E12)</f>
        <v>61-29</v>
      </c>
      <c r="P9" s="859">
        <f>C9+D9+F9+G9+H9-E7-E8-E10-E11-E12</f>
        <v>32</v>
      </c>
      <c r="Q9" s="860">
        <f t="shared" si="1"/>
        <v>2.1730769230769229</v>
      </c>
      <c r="R9" s="868">
        <f t="shared" si="2"/>
        <v>4</v>
      </c>
      <c r="S9" s="862">
        <f t="shared" si="3"/>
        <v>400100</v>
      </c>
      <c r="T9" s="863">
        <f t="shared" si="4"/>
        <v>400100.01319999999</v>
      </c>
      <c r="U9" s="864" t="str">
        <f t="shared" si="5"/>
        <v>40</v>
      </c>
      <c r="AD9" s="676">
        <f t="shared" ca="1" si="6"/>
        <v>916</v>
      </c>
      <c r="AE9" s="829" t="str">
        <f t="shared" si="7"/>
        <v>Ivar Viljaste</v>
      </c>
      <c r="AF9" s="830">
        <f ca="1">IFERROR(INDEX(Reit!$I:$I,MATCH(AE9,Reit!$F:$F,0)),"")</f>
        <v>364</v>
      </c>
      <c r="AG9" s="829" t="str">
        <f t="shared" si="8"/>
        <v>Matti Vinni</v>
      </c>
      <c r="AH9" s="830">
        <f ca="1">IFERROR(INDEX(Reit!$I:$I,MATCH(AG9,Reit!$F:$F,0)),"")</f>
        <v>294</v>
      </c>
      <c r="AI9" s="829" t="str">
        <f t="shared" si="9"/>
        <v>Oleg Rõndenkov</v>
      </c>
      <c r="AJ9" s="830">
        <f ca="1">IFERROR(INDEX(Reit!$I:$I,MATCH(AI9,Reit!$F:$F,0)),"")</f>
        <v>258</v>
      </c>
      <c r="AK9" s="891" t="str">
        <f t="shared" si="10"/>
        <v/>
      </c>
      <c r="AL9" s="830" t="str">
        <f>IFERROR(INDEX(Reit!$I:$I,MATCH(AK9,Reit!$F:$F,0)),"")</f>
        <v/>
      </c>
      <c r="AM9" s="829" t="str">
        <f t="shared" si="11"/>
        <v/>
      </c>
      <c r="AN9" s="830" t="str">
        <f>IFERROR(INDEX(Reit!$I:$I,MATCH(AM9,Reit!$F:$F,0)),"")</f>
        <v/>
      </c>
    </row>
    <row r="10" spans="1:40" x14ac:dyDescent="0.2">
      <c r="A10" s="837">
        <v>4</v>
      </c>
      <c r="B10" s="870" t="s">
        <v>494</v>
      </c>
      <c r="C10" s="852">
        <v>13</v>
      </c>
      <c r="D10" s="869">
        <v>0</v>
      </c>
      <c r="E10" s="852">
        <v>3</v>
      </c>
      <c r="F10" s="850"/>
      <c r="G10" s="852">
        <v>4</v>
      </c>
      <c r="H10" s="852">
        <v>8</v>
      </c>
      <c r="I10" s="853" t="str">
        <f>(IF(C10-F7&gt;0,1)+IF(D10-F8&gt;0,1)+IF(E10-F9&gt;0,1)+IF(G10-F11&gt;0,1)+IF(H10-F12&gt;0,1))&amp;"-"&amp;(IF(C10-F7&lt;0,1)+IF(D10-F8&lt;0,1)+IF(E10-F9&lt;0,1)+IF(G10-F11&lt;0,1)+IF(H10-F12&lt;0,1))</f>
        <v>1-4</v>
      </c>
      <c r="J10" s="852" t="str">
        <f t="shared" si="0"/>
        <v>6</v>
      </c>
      <c r="K10" s="866">
        <f>IF(AND(R10=1,R7=1,C10&gt;F7),1)+IF(AND(R10=1,R8=1,D10&gt;F8),1)+IF(AND(R10=1,R9=1,E10&gt;F9),1)+IF(AND(R10=1,R11=1,G10&gt;F11),1)+IF(AND(R10=1,R12=1,H10&gt;F12),1)+IF(AND(R10=2,R7=2,C10&gt;F7),1)+IF(AND(R10=2,R8=2,D10&gt;F8),1)+IF(AND(R10=2,R9=2,E10&gt;F9),1)+IF(AND(R10=2,R11=2,G10&gt;F11),1)+IF(AND(R10=2,R12=2,H10&gt;F12),1)+IF(AND(R10=3,R7=3,C10&gt;F7),1)+IF(AND(R10=3,R8=3,D10&gt;F8),1)+IF(AND(R10=3,R9=3,E10&gt;F9),1)+IF(AND(R10=3,R11=3,G10&gt;F11),1)+IF(AND(R10=3,R12=3,H10&gt;F12),1)+IF(AND(R10=4,R7=4,C10&gt;F7),1)+IF(AND(R10=4,R8=4,D10&gt;F8),1)+IF(AND(R10=4,R9=4,E10&gt;F9),1)+IF(AND(R10=4,R11=4,G10&gt;F11),1)+IF(AND(R10=4,R12=4,H10&gt;F12),1)</f>
        <v>0</v>
      </c>
      <c r="L10" s="857">
        <f>SUM(AND(U10=U7,C10&gt;F7),AND(U10=U8,D10&gt;F8),AND(U10=U9,E10&gt;F9),AND(U10=U11,G10&gt;F11),AND(U10=U12,H10&gt;F12))</f>
        <v>0</v>
      </c>
      <c r="M10" s="867">
        <f>IF(AND(R10=1,R7=1),C10-F7)+IF(AND(R10=1,R8=1),D10-F8)+IF(AND(R10=1,R9=1),E10-F9)+IF(AND(R10=1,R11=1),G10-F11)+IF(AND(R10=1,R12=1),H10-F12)+IF(AND(R10=2,R7=2),C10-F7)+IF(AND(R10=2,R8=2),D10-F8)+IF(AND(R10=2,R9=2),E10-F9)+IF(AND(R10=2,R11=2),G10-F11)+IF(AND(R10=2,R12=2),H10-F12)+IF(AND(R10=3,R7=3),C10-F7)+IF(AND(R10=3,R8=3),D10-F8)+IF(AND(R10=3,R9=3),E10-F9)+IF(AND(R10=3,R11=3),G10-F11)+IF(AND(R10=3,R12=3),H10-F12)+IF(AND(R10=4,R7=4),C10-F7)+IF(AND(R10=4,R8=4),D10-F8)+IF(AND(R10=4,R9=4),E10-F9)+IF(AND(R10=4,R11=4),G10-F11)+IF(AND(R10=4,R12=4),H10-F12)</f>
        <v>0</v>
      </c>
      <c r="N10" s="857">
        <f>SUM(AND(S10=S7,C10&gt;F7),AND(S10=S8,D10&gt;F8),AND(S10=S9,E10&gt;F9),AND(S10=S11,G10&gt;F11),AND(S10=S12,H10&gt;F12))</f>
        <v>0</v>
      </c>
      <c r="O10" s="858" t="str">
        <f>SUM(C10:H10)&amp;"-"&amp;SUM(F7:F12)</f>
        <v>28-61</v>
      </c>
      <c r="P10" s="859">
        <f>C10+D10+E10+G10+H10-F7-F8-F9-F11-F12</f>
        <v>-33</v>
      </c>
      <c r="Q10" s="860">
        <f t="shared" si="1"/>
        <v>1.5384615384615385</v>
      </c>
      <c r="R10" s="868">
        <f t="shared" si="2"/>
        <v>1</v>
      </c>
      <c r="S10" s="862">
        <f t="shared" si="3"/>
        <v>100100</v>
      </c>
      <c r="T10" s="863">
        <f t="shared" si="4"/>
        <v>100100.0067</v>
      </c>
      <c r="U10" s="864" t="str">
        <f t="shared" si="5"/>
        <v>10</v>
      </c>
      <c r="AD10" s="676">
        <f t="shared" ca="1" si="6"/>
        <v>236</v>
      </c>
      <c r="AE10" s="829" t="str">
        <f t="shared" si="7"/>
        <v>Argo Sepp</v>
      </c>
      <c r="AF10" s="830">
        <f ca="1">IFERROR(INDEX(Reit!$I:$I,MATCH(AE10,Reit!$F:$F,0)),"")</f>
        <v>132</v>
      </c>
      <c r="AG10" s="829" t="str">
        <f t="shared" si="8"/>
        <v>Ljudmila Varendi</v>
      </c>
      <c r="AH10" s="830">
        <f ca="1">IFERROR(INDEX(Reit!$I:$I,MATCH(AG10,Reit!$F:$F,0)),"")</f>
        <v>52</v>
      </c>
      <c r="AI10" s="829" t="str">
        <f t="shared" si="9"/>
        <v>Viktor Švarõgin</v>
      </c>
      <c r="AJ10" s="830">
        <f ca="1">IFERROR(INDEX(Reit!$I:$I,MATCH(AI10,Reit!$F:$F,0)),"")</f>
        <v>52</v>
      </c>
      <c r="AK10" s="891" t="str">
        <f t="shared" si="10"/>
        <v/>
      </c>
      <c r="AL10" s="830" t="str">
        <f>IFERROR(INDEX(Reit!$I:$I,MATCH(AK10,Reit!$F:$F,0)),"")</f>
        <v/>
      </c>
      <c r="AM10" s="829" t="str">
        <f t="shared" si="11"/>
        <v/>
      </c>
      <c r="AN10" s="830" t="str">
        <f>IFERROR(INDEX(Reit!$I:$I,MATCH(AM10,Reit!$F:$F,0)),"")</f>
        <v/>
      </c>
    </row>
    <row r="11" spans="1:40" x14ac:dyDescent="0.2">
      <c r="A11" s="837">
        <v>5</v>
      </c>
      <c r="B11" s="870" t="s">
        <v>495</v>
      </c>
      <c r="C11" s="852">
        <v>7</v>
      </c>
      <c r="D11" s="852">
        <v>7</v>
      </c>
      <c r="E11" s="852">
        <v>2</v>
      </c>
      <c r="F11" s="852">
        <v>13</v>
      </c>
      <c r="G11" s="850"/>
      <c r="H11" s="871">
        <v>13</v>
      </c>
      <c r="I11" s="853" t="str">
        <f>(IF(C11-G7&gt;0,1)+IF(D11-G8&gt;0,1)+IF(E11-G9&gt;0,1)+IF(F11-G10&gt;0,1)+IF(H11-G12&gt;0,1))&amp;"-"&amp;(IF(C11-G7&lt;0,1)+IF(D11-G8&lt;0,1)+IF(E11-G9&lt;0,1)+IF(F11-G10&lt;0,1)+IF(H11-G12&lt;0,1))</f>
        <v>2-3</v>
      </c>
      <c r="J11" s="852" t="str">
        <f t="shared" si="0"/>
        <v>4</v>
      </c>
      <c r="K11" s="866">
        <f>IF(AND(R11=1,R7=1,C11&gt;G7),1)+IF(AND(R11=1,R8=1,D11&gt;G8),1)+IF(AND(R11=1,R9=1,E11&gt;G9),1)+IF(AND(R11=1,R10=1,F11&gt;G10),1)+IF(AND(R11=1,R12=1,H11&gt;G12),1)+IF(AND(R11=2,R7=2,C11&gt;G7),1)+IF(AND(R11=2,R8=2,D11&gt;G8),1)+IF(AND(R11=2,R9=2,E11&gt;G9),1)+IF(AND(R11=2,R10=2,F11&gt;G10),1)+IF(AND(R11=2,R12=2,H11&gt;G12),1)+IF(AND(R11=3,R7=3,C11&gt;G7),1)+IF(AND(R11=3,R8=3,D11&gt;G8),1)+IF(AND(R11=3,R9=3,E11&gt;G9),1)+IF(AND(R11=3,R10=3,F11&gt;G10),1)+IF(AND(R11=3,R12=3,H11&gt;G12),1)+IF(AND(R11=4,R7=4,C11&gt;G7),1)+IF(AND(R11=4,R8=4,D11&gt;G8),1)+IF(AND(R11=4,R9=4,E11&gt;G9),1)+IF(AND(R11=4,R10=4,F11&gt;G10),1)+IF(AND(R11=4,R12=4,H11&gt;G12),1)</f>
        <v>1</v>
      </c>
      <c r="L11" s="857">
        <f>SUM(AND(U11=U7,C11&gt;G7),AND(U11=U8,D11&gt;G8),AND(U11=U9,E11&gt;G9),AND(U11=U10,F11&gt;G10),AND(U11=U12,H11&gt;G12))</f>
        <v>0</v>
      </c>
      <c r="M11" s="867">
        <f>IF(AND(R11=1,R7=1),C11-G7)+IF(AND(R11=1,R8=1),D11-G8)+IF(AND(R11=1,R9=1),E11-G9)+IF(AND(R11=1,R10=1),F11-G10)+IF(AND(R11=1,R12=1),H11-G12)+IF(AND(R11=2,R7=2),C11-G7)+IF(AND(R11=2,R8=2),D11-G8)+IF(AND(R11=2,R9=2),E11-G9)+IF(AND(R11=2,R10=2),F11-G10)+IF(AND(R11=2,R12=2),H11-G12)+IF(AND(R11=3,R7=3),C11-G7)+IF(AND(R11=3,R8=3),D11-G8)+IF(AND(R11=3,R9=3),E11-G9)+IF(AND(R11=3,R10=3),F11-G10)+IF(AND(R11=3,R12=3),H11-G12)+IF(AND(R11=4,R7=4),C11-G7)+IF(AND(R11=4,R8=4),D11-G8)+IF(AND(R11=4,R9=4),E11-G9)+IF(AND(R11=4,R10=4),F11-G10)+IF(AND(R11=4,R12=4),H11-G12)</f>
        <v>7</v>
      </c>
      <c r="N11" s="857">
        <f>SUM(AND(S11=S7,C11&gt;G7),AND(S11=S8,D11&gt;G8),AND(S11=S9,E11&gt;G9),AND(S11=S10,F11&gt;G10),AND(S11=S12,H11&gt;G12))</f>
        <v>0</v>
      </c>
      <c r="O11" s="858" t="str">
        <f>SUM(C11:H11)&amp;"-"&amp;SUM(G7:G12)</f>
        <v>42-49</v>
      </c>
      <c r="P11" s="859">
        <f>C11+D11+E11+F11+H11-G7-G8-G9-G10-G12</f>
        <v>-7</v>
      </c>
      <c r="Q11" s="860">
        <f t="shared" si="1"/>
        <v>1.8076923076923077</v>
      </c>
      <c r="R11" s="868">
        <f t="shared" si="2"/>
        <v>2</v>
      </c>
      <c r="S11" s="862">
        <f t="shared" si="3"/>
        <v>210107</v>
      </c>
      <c r="T11" s="863">
        <f t="shared" si="4"/>
        <v>210107.00930000001</v>
      </c>
      <c r="U11" s="864" t="str">
        <f t="shared" si="5"/>
        <v>21</v>
      </c>
      <c r="AD11" s="676">
        <f t="shared" ca="1" si="6"/>
        <v>472</v>
      </c>
      <c r="AE11" s="829" t="str">
        <f t="shared" si="7"/>
        <v>Boriss Klubov</v>
      </c>
      <c r="AF11" s="830">
        <f ca="1">IFERROR(INDEX(Reit!$I:$I,MATCH(AE11,Reit!$F:$F,0)),"")</f>
        <v>190</v>
      </c>
      <c r="AG11" s="829" t="str">
        <f t="shared" si="8"/>
        <v>Tõnu Kapper</v>
      </c>
      <c r="AH11" s="830">
        <f ca="1">IFERROR(INDEX(Reit!$I:$I,MATCH(AG11,Reit!$F:$F,0)),"")</f>
        <v>158</v>
      </c>
      <c r="AI11" s="829" t="str">
        <f t="shared" si="9"/>
        <v>Vladimir Ogneštšikov</v>
      </c>
      <c r="AJ11" s="830">
        <f ca="1">IFERROR(INDEX(Reit!$I:$I,MATCH(AI11,Reit!$F:$F,0)),"")</f>
        <v>124</v>
      </c>
      <c r="AK11" s="891" t="str">
        <f t="shared" si="10"/>
        <v/>
      </c>
      <c r="AL11" s="830" t="str">
        <f>IFERROR(INDEX(Reit!$I:$I,MATCH(AK11,Reit!$F:$F,0)),"")</f>
        <v/>
      </c>
      <c r="AM11" s="829" t="str">
        <f t="shared" si="11"/>
        <v/>
      </c>
      <c r="AN11" s="830" t="str">
        <f>IFERROR(INDEX(Reit!$I:$I,MATCH(AM11,Reit!$F:$F,0)),"")</f>
        <v/>
      </c>
    </row>
    <row r="12" spans="1:40" x14ac:dyDescent="0.2">
      <c r="A12" s="681">
        <v>6</v>
      </c>
      <c r="B12" s="865" t="s">
        <v>496</v>
      </c>
      <c r="C12" s="872">
        <v>10</v>
      </c>
      <c r="D12" s="647">
        <v>13</v>
      </c>
      <c r="E12" s="872">
        <v>4</v>
      </c>
      <c r="F12" s="872">
        <v>13</v>
      </c>
      <c r="G12" s="873">
        <v>6</v>
      </c>
      <c r="H12" s="874"/>
      <c r="I12" s="647" t="str">
        <f>(IF(C12-H7&gt;0,1)+IF(D12-H8&gt;0,1)+IF(E12-H9&gt;0,1)+IF(F12-H10&gt;0,1)+IF(G12-H11&gt;0,1))&amp;"-"&amp;(IF(C12-H7&lt;0,1)+IF(D12-H8&lt;0,1)+IF(E12-H9&lt;0,1)+IF(F12-H10&lt;0,1)+IF(G12-H11&lt;0,1))</f>
        <v>2-3</v>
      </c>
      <c r="J12" s="852" t="str">
        <f t="shared" si="0"/>
        <v>5</v>
      </c>
      <c r="K12" s="875">
        <f>IF(AND(R12=1,R7=1,C12&gt;H7),1)+IF(AND(R12=1,R8=1,D12&gt;H8),1)+IF(AND(R12=1,R9=1,E12&gt;H9),1)+IF(AND(R12=1,R10=1,F12&gt;H10),1)+IF(AND(R12=1,R11=1,G12&gt;H11),1)+IF(AND(R12=2,R7=2,C12&gt;H7),1)+IF(AND(R12=2,R8=2,D12&gt;H8),1)+IF(AND(R12=2,R9=2,E12&gt;H9),1)+IF(AND(R12=2,R10=2,F12&gt;H10),1)+IF(AND(R12=2,R11=2,G12&gt;H11),1)+IF(AND(R12=3,R7=3,C12&gt;H7),1)+IF(AND(R12=3,R8=3,D12&gt;H8),1)+IF(AND(R12=3,R9=3,E12&gt;H9),1)+IF(AND(R12=3,R10=3,F12&gt;H10),1)+IF(AND(R12=3,R11=3,G12&gt;H11),1)+IF(AND(R12=4,R7=4,C12&gt;H7),1)+IF(AND(R12=4,R8=4,D12&gt;H8),1)+IF(AND(R12=4,R9=4,E12&gt;H9),1)+IF(AND(R12=4,R10=4,F12&gt;H10),1)+IF(AND(R12=4,R11=4,G12&gt;H11),1)</f>
        <v>0</v>
      </c>
      <c r="L12" s="876">
        <f>SUM(AND(U12=U7,C12&gt;H7),AND(U12=U8,D12&gt;H8),AND(U12=U9,E12&gt;H9),AND(U12=U10,F12&gt;H10),AND(U12=U11,G12&gt;H11))</f>
        <v>0</v>
      </c>
      <c r="M12" s="877">
        <f>IF(AND(R12=1,R7=1),C12-H7)+IF(AND(R12=1,R8=1),D12-H8)+IF(AND(R12=1,R9=1),E12-H9)+IF(AND(R12=1,R10=1),F12-H10)+IF(AND(R12=1,R11=1),G12-H11)+IF(AND(R12=2,R7=2),C12-H7)+IF(AND(R12=2,R8=2),D12-H8)+IF(AND(R12=2,R9=2),E12-H9)+IF(AND(R12=2,R10=2),F12-H10)+IF(AND(R12=2,R11=2),G12-H11)+IF(AND(R12=3,R7=3),C12-H7)+IF(AND(R12=3,R8=3),D12-H8)+IF(AND(R12=3,R9=3),E12-H9)+IF(AND(R12=3,R10=3),F12-H10)+IF(AND(R12=3,R11=3),G12-H11)+IF(AND(R12=4,R7=4),C12-H7)+IF(AND(R12=4,R8=4),D12-H8)+IF(AND(R12=4,R9=4),E12-H9)+IF(AND(R12=4,R10=4),F12-H10)+IF(AND(R12=4,R11=4),G12-H11)</f>
        <v>-7</v>
      </c>
      <c r="N12" s="857">
        <f>SUM(AND(S12=S7,C12&gt;H7),AND(S12=S8,D12&gt;H8),AND(S12=S9,E12&gt;H9),AND(S12=S10,F12&gt;H10),AND(S12=S11,G12&gt;H11))</f>
        <v>0</v>
      </c>
      <c r="O12" s="858" t="str">
        <f>SUM(C12:H12)&amp;"-"&amp;SUM(H7:H12)</f>
        <v>46-57</v>
      </c>
      <c r="P12" s="859">
        <f>C12+D12+E12+F12+G12-H7-H8-H9-H10-H11</f>
        <v>-11</v>
      </c>
      <c r="Q12" s="860">
        <f t="shared" si="1"/>
        <v>1.8846153846153846</v>
      </c>
      <c r="R12" s="868">
        <f t="shared" si="2"/>
        <v>2</v>
      </c>
      <c r="S12" s="862">
        <f t="shared" si="3"/>
        <v>200093</v>
      </c>
      <c r="T12" s="863">
        <f t="shared" si="4"/>
        <v>200093.00890000002</v>
      </c>
      <c r="U12" s="864" t="str">
        <f t="shared" si="5"/>
        <v>20</v>
      </c>
      <c r="AD12" s="676">
        <f t="shared" ca="1" si="6"/>
        <v>454</v>
      </c>
      <c r="AE12" s="829" t="str">
        <f t="shared" si="7"/>
        <v>Andrei Grintšak</v>
      </c>
      <c r="AF12" s="830">
        <f ca="1">IFERROR(INDEX(Reit!$I:$I,MATCH(AE12,Reit!$F:$F,0)),"")</f>
        <v>168</v>
      </c>
      <c r="AG12" s="829" t="str">
        <f t="shared" si="8"/>
        <v>Klavdia Piik</v>
      </c>
      <c r="AH12" s="830">
        <f ca="1">IFERROR(INDEX(Reit!$I:$I,MATCH(AG12,Reit!$F:$F,0)),"")</f>
        <v>36</v>
      </c>
      <c r="AI12" s="829" t="str">
        <f t="shared" si="9"/>
        <v>Tõnu Piik</v>
      </c>
      <c r="AJ12" s="830">
        <f ca="1">IFERROR(INDEX(Reit!$I:$I,MATCH(AI12,Reit!$F:$F,0)),"")</f>
        <v>250</v>
      </c>
      <c r="AK12" s="891" t="str">
        <f t="shared" si="10"/>
        <v/>
      </c>
      <c r="AL12" s="830" t="str">
        <f>IFERROR(INDEX(Reit!$I:$I,MATCH(AK12,Reit!$F:$F,0)),"")</f>
        <v/>
      </c>
      <c r="AM12" s="829" t="str">
        <f t="shared" si="11"/>
        <v/>
      </c>
      <c r="AN12" s="830" t="str">
        <f>IFERROR(INDEX(Reit!$I:$I,MATCH(AM12,Reit!$F:$F,0)),"")</f>
        <v/>
      </c>
    </row>
    <row r="14" spans="1:40" x14ac:dyDescent="0.2">
      <c r="B14" s="878" t="s">
        <v>369</v>
      </c>
      <c r="C14" s="879" t="s">
        <v>497</v>
      </c>
      <c r="D14" s="879" t="s">
        <v>498</v>
      </c>
      <c r="E14" s="879" t="s">
        <v>499</v>
      </c>
      <c r="F14" s="880"/>
    </row>
    <row r="15" spans="1:40" x14ac:dyDescent="0.2">
      <c r="B15" s="878" t="s">
        <v>370</v>
      </c>
      <c r="C15" s="879" t="s">
        <v>500</v>
      </c>
      <c r="D15" s="879" t="s">
        <v>501</v>
      </c>
      <c r="E15" s="879" t="s">
        <v>502</v>
      </c>
      <c r="F15" s="880"/>
    </row>
    <row r="16" spans="1:40" x14ac:dyDescent="0.2">
      <c r="B16" s="878" t="s">
        <v>371</v>
      </c>
      <c r="C16" s="879" t="s">
        <v>503</v>
      </c>
      <c r="D16" s="879" t="s">
        <v>504</v>
      </c>
      <c r="E16" s="879" t="s">
        <v>505</v>
      </c>
      <c r="F16" s="880"/>
    </row>
    <row r="17" spans="2:6" x14ac:dyDescent="0.2">
      <c r="B17" s="878" t="s">
        <v>372</v>
      </c>
      <c r="C17" s="879" t="s">
        <v>506</v>
      </c>
      <c r="D17" s="879" t="s">
        <v>507</v>
      </c>
      <c r="E17" s="879" t="s">
        <v>508</v>
      </c>
      <c r="F17" s="880"/>
    </row>
    <row r="18" spans="2:6" x14ac:dyDescent="0.2">
      <c r="B18" s="878" t="s">
        <v>373</v>
      </c>
      <c r="C18" s="879" t="s">
        <v>509</v>
      </c>
      <c r="D18" s="879" t="s">
        <v>510</v>
      </c>
      <c r="E18" s="879" t="s">
        <v>511</v>
      </c>
      <c r="F18" s="880"/>
    </row>
    <row r="19" spans="2:6" hidden="1" x14ac:dyDescent="0.2"/>
    <row r="20" spans="2:6" hidden="1" x14ac:dyDescent="0.2"/>
    <row r="21" spans="2:6" hidden="1" x14ac:dyDescent="0.2"/>
    <row r="22" spans="2:6" hidden="1" x14ac:dyDescent="0.2"/>
    <row r="23" spans="2:6" hidden="1" x14ac:dyDescent="0.2"/>
    <row r="24" spans="2:6" hidden="1" x14ac:dyDescent="0.2"/>
    <row r="25" spans="2:6" hidden="1" x14ac:dyDescent="0.2"/>
    <row r="26" spans="2:6" hidden="1" x14ac:dyDescent="0.2"/>
    <row r="27" spans="2:6" hidden="1" x14ac:dyDescent="0.2"/>
    <row r="28" spans="2:6" hidden="1" x14ac:dyDescent="0.2"/>
    <row r="29" spans="2:6" hidden="1" x14ac:dyDescent="0.2"/>
    <row r="30" spans="2:6" hidden="1" x14ac:dyDescent="0.2"/>
    <row r="31" spans="2:6" hidden="1" x14ac:dyDescent="0.2"/>
    <row r="32" spans="2:6"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9" hidden="1" x14ac:dyDescent="0.2"/>
    <row r="98" spans="1:9" hidden="1" x14ac:dyDescent="0.2"/>
    <row r="100" spans="1:9" x14ac:dyDescent="0.2">
      <c r="A100" s="881" t="s">
        <v>512</v>
      </c>
    </row>
    <row r="102" spans="1:9" ht="13.5" thickBot="1" x14ac:dyDescent="0.25">
      <c r="H102" s="882" t="str">
        <f>IFERROR(INDEX(B$1:B$100,MATCH("1",J$1:J$100,0)),"")</f>
        <v>Ivar Viljaste, Matti Vinni, Oleg Rõndenkov</v>
      </c>
      <c r="I102" s="702"/>
    </row>
    <row r="103" spans="1:9" x14ac:dyDescent="0.2">
      <c r="H103" s="883" t="s">
        <v>513</v>
      </c>
      <c r="I103" s="884"/>
    </row>
    <row r="104" spans="1:9" x14ac:dyDescent="0.2">
      <c r="H104" s="702"/>
      <c r="I104" s="702"/>
    </row>
    <row r="105" spans="1:9" ht="13.5" thickBot="1" x14ac:dyDescent="0.25">
      <c r="H105" s="882" t="str">
        <f>IFERROR(INDEX(B$1:B$100,MATCH("2",J$1:J$100,0)),"")</f>
        <v>Jaan Sepp, Mait Metsla, Oskar Sepp</v>
      </c>
      <c r="I105" s="885"/>
    </row>
    <row r="106" spans="1:9" x14ac:dyDescent="0.2">
      <c r="H106" s="883" t="s">
        <v>514</v>
      </c>
      <c r="I106" s="886"/>
    </row>
    <row r="107" spans="1:9" x14ac:dyDescent="0.2">
      <c r="H107" s="702"/>
      <c r="I107" s="702"/>
    </row>
    <row r="108" spans="1:9" ht="13.5" thickBot="1" x14ac:dyDescent="0.25">
      <c r="H108" s="882" t="str">
        <f>IFERROR(INDEX(B$1:B$100,MATCH("3",J$1:J$100,0)),"")</f>
        <v>Aarne Välja, Janek Tarto, Romek Tarto</v>
      </c>
      <c r="I108" s="886"/>
    </row>
    <row r="109" spans="1:9" x14ac:dyDescent="0.2">
      <c r="H109" s="883" t="s">
        <v>461</v>
      </c>
      <c r="I109" s="884"/>
    </row>
    <row r="110" spans="1:9" x14ac:dyDescent="0.2">
      <c r="H110" s="886"/>
      <c r="I110" s="886"/>
    </row>
    <row r="111" spans="1:9" ht="13.5" thickBot="1" x14ac:dyDescent="0.25">
      <c r="H111" s="887" t="str">
        <f>IFERROR(INDEX(B$1:B$100,MATCH("4",J$1:J$100,0)),"")</f>
        <v>Boriss Klubov, Tõnu Kapper, Vladimir Ogneštšikov</v>
      </c>
      <c r="I111" s="885"/>
    </row>
    <row r="112" spans="1:9" x14ac:dyDescent="0.2">
      <c r="H112" s="742" t="s">
        <v>458</v>
      </c>
      <c r="I112" s="702"/>
    </row>
    <row r="113" spans="8:9" x14ac:dyDescent="0.2">
      <c r="H113" s="652"/>
      <c r="I113" s="652"/>
    </row>
    <row r="114" spans="8:9" ht="13.5" thickBot="1" x14ac:dyDescent="0.25">
      <c r="H114" s="887" t="str">
        <f>IFERROR(INDEX(B$1:B$100,MATCH("5",J$1:J$100,0)),"")</f>
        <v>Andrei Grintšak, Klavdia Piik, Tõnu Piik</v>
      </c>
      <c r="I114" s="885"/>
    </row>
    <row r="115" spans="8:9" x14ac:dyDescent="0.2">
      <c r="H115" s="742" t="s">
        <v>459</v>
      </c>
      <c r="I115" s="702"/>
    </row>
    <row r="116" spans="8:9" x14ac:dyDescent="0.2">
      <c r="H116" s="888"/>
      <c r="I116" s="888"/>
    </row>
    <row r="117" spans="8:9" ht="13.5" thickBot="1" x14ac:dyDescent="0.25">
      <c r="H117" s="887" t="str">
        <f>IFERROR(INDEX(B$1:B$100,MATCH("6",J$1:J$100,0)),"")</f>
        <v>Argo Sepp, Ljudmila Varendi, Viktor Švarõgin</v>
      </c>
      <c r="I117" s="885"/>
    </row>
    <row r="118" spans="8:9" x14ac:dyDescent="0.2">
      <c r="H118" s="742" t="s">
        <v>456</v>
      </c>
      <c r="I118" s="702"/>
    </row>
    <row r="119" spans="8:9" hidden="1" x14ac:dyDescent="0.2"/>
    <row r="120" spans="8:9" hidden="1" x14ac:dyDescent="0.2"/>
    <row r="121" spans="8:9" hidden="1" x14ac:dyDescent="0.2"/>
    <row r="122" spans="8:9" hidden="1" x14ac:dyDescent="0.2"/>
    <row r="123" spans="8:9" hidden="1" x14ac:dyDescent="0.2"/>
    <row r="124" spans="8:9" hidden="1" x14ac:dyDescent="0.2"/>
    <row r="125" spans="8:9" hidden="1" x14ac:dyDescent="0.2"/>
    <row r="126" spans="8:9" hidden="1" x14ac:dyDescent="0.2"/>
    <row r="127" spans="8:9" hidden="1" x14ac:dyDescent="0.2"/>
    <row r="128" spans="8:9"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652"/>
      <c r="B299" s="652"/>
      <c r="C299" s="646" t="s">
        <v>182</v>
      </c>
    </row>
    <row r="300" spans="1:3" x14ac:dyDescent="0.2">
      <c r="A300" s="699">
        <v>1</v>
      </c>
      <c r="B300" s="700" t="str">
        <f t="shared" ref="B300:B305" si="12">IFERROR(INDEX(H$100:H$300,MATCH(A300&amp;". koht",H$101:H$301,0)),"")</f>
        <v>Ivar Viljaste, Matti Vinni, Oleg Rõndenkov</v>
      </c>
      <c r="C300" s="711">
        <v>40</v>
      </c>
    </row>
    <row r="301" spans="1:3" x14ac:dyDescent="0.2">
      <c r="A301" s="699">
        <v>2</v>
      </c>
      <c r="B301" s="700" t="str">
        <f t="shared" si="12"/>
        <v>Jaan Sepp, Mait Metsla, Oskar Sepp</v>
      </c>
      <c r="C301" s="711">
        <v>34</v>
      </c>
    </row>
    <row r="302" spans="1:3" x14ac:dyDescent="0.2">
      <c r="A302" s="699">
        <v>3</v>
      </c>
      <c r="B302" s="700" t="str">
        <f t="shared" si="12"/>
        <v>Aarne Välja, Janek Tarto, Romek Tarto</v>
      </c>
      <c r="C302" s="711">
        <v>30</v>
      </c>
    </row>
    <row r="303" spans="1:3" x14ac:dyDescent="0.2">
      <c r="A303" s="699">
        <v>4</v>
      </c>
      <c r="B303" s="700" t="str">
        <f t="shared" si="12"/>
        <v>Boriss Klubov, Tõnu Kapper, Vladimir Ogneštšikov</v>
      </c>
      <c r="C303" s="711">
        <v>26</v>
      </c>
    </row>
    <row r="304" spans="1:3" x14ac:dyDescent="0.2">
      <c r="A304" s="699">
        <v>5</v>
      </c>
      <c r="B304" s="700" t="str">
        <f t="shared" si="12"/>
        <v>Andrei Grintšak, Klavdia Piik, Tõnu Piik</v>
      </c>
      <c r="C304" s="711">
        <v>24</v>
      </c>
    </row>
    <row r="305" spans="1:3" x14ac:dyDescent="0.2">
      <c r="A305" s="699">
        <v>6</v>
      </c>
      <c r="B305" s="700" t="str">
        <f t="shared" si="12"/>
        <v>Argo Sepp, Ljudmila Varendi, Viktor Švarõgin</v>
      </c>
      <c r="C305" s="711">
        <v>22</v>
      </c>
    </row>
  </sheetData>
  <conditionalFormatting sqref="A300:A305">
    <cfRule type="duplicateValues" dxfId="1472" priority="65"/>
  </conditionalFormatting>
  <conditionalFormatting sqref="B300:B305">
    <cfRule type="expression" dxfId="1471" priority="60">
      <formula>A300=3</formula>
    </cfRule>
    <cfRule type="expression" dxfId="1470" priority="61">
      <formula>A300=2</formula>
    </cfRule>
    <cfRule type="expression" dxfId="1469" priority="62">
      <formula>A300=1</formula>
    </cfRule>
    <cfRule type="containsBlanks" dxfId="1468" priority="63">
      <formula>LEN(TRIM(B300))=0</formula>
    </cfRule>
    <cfRule type="duplicateValues" dxfId="1467" priority="64"/>
  </conditionalFormatting>
  <conditionalFormatting sqref="J7:J12">
    <cfRule type="duplicateValues" dxfId="1466" priority="51"/>
  </conditionalFormatting>
  <conditionalFormatting sqref="I7:I12">
    <cfRule type="expression" dxfId="1465" priority="47">
      <formula>AND(R7=4,IF(COUNTIF(R$7:R$12,"=4")&gt;=2,TRUE))</formula>
    </cfRule>
    <cfRule type="expression" dxfId="1464" priority="48">
      <formula>AND(R7=3,IF(COUNTIF(R$7:R$12,"=3")&gt;=2,TRUE))</formula>
    </cfRule>
    <cfRule type="expression" dxfId="1463" priority="49">
      <formula>AND(R7=2,IF(COUNTIF(R$7:R$12,"=2")&gt;=2,TRUE))</formula>
    </cfRule>
    <cfRule type="expression" dxfId="1462" priority="50">
      <formula>AND(R7=1,IF(COUNTIF(R$7:R$12,"=1")&gt;=2,TRUE))</formula>
    </cfRule>
  </conditionalFormatting>
  <conditionalFormatting sqref="M7:M12">
    <cfRule type="expression" dxfId="1461" priority="13">
      <formula>L7=0</formula>
    </cfRule>
    <cfRule type="expression" dxfId="1460" priority="52">
      <formula>IF(COUNTIF(K$7:K$12,"=2")=2,TRUE)</formula>
    </cfRule>
    <cfRule type="expression" dxfId="1459" priority="53">
      <formula>IF(COUNTIF(K$7:K$12,"=1")=2,TRUE)</formula>
    </cfRule>
    <cfRule type="expression" dxfId="1458" priority="54">
      <formula>AND(IF(COUNTIF(R$7:R$12,"=1")=2,TRUE),IF(COUNTIF(R$7:R$12,"=2")=2,TRUE))</formula>
    </cfRule>
    <cfRule type="expression" dxfId="1457" priority="55">
      <formula>AND(R7=4,IF(COUNTIF(R$7:R$12,"=4")=1,TRUE))</formula>
    </cfRule>
    <cfRule type="expression" dxfId="1456" priority="56">
      <formula>AND(R7=3,IF(COUNTIF(R$7:R$12,"=3")=1,TRUE))</formula>
    </cfRule>
    <cfRule type="expression" dxfId="1455" priority="57">
      <formula>AND(R7=2,IF(COUNTIF(R$7:R$12,"=2")=1,TRUE))</formula>
    </cfRule>
    <cfRule type="expression" dxfId="1454" priority="58">
      <formula>AND(R7=1,IF(COUNTIF(R$7:R$12,"=1")=1,TRUE))</formula>
    </cfRule>
    <cfRule type="expression" dxfId="1453" priority="59">
      <formula>OR(R7=0,R7=5)</formula>
    </cfRule>
  </conditionalFormatting>
  <conditionalFormatting sqref="C8 D7">
    <cfRule type="aboveAverage" dxfId="1452" priority="45"/>
  </conditionalFormatting>
  <conditionalFormatting sqref="C9 E7">
    <cfRule type="aboveAverage" dxfId="1451" priority="44"/>
  </conditionalFormatting>
  <conditionalFormatting sqref="D9 E8">
    <cfRule type="aboveAverage" dxfId="1450" priority="43"/>
  </conditionalFormatting>
  <conditionalFormatting sqref="D10 F8">
    <cfRule type="aboveAverage" dxfId="1449" priority="41"/>
  </conditionalFormatting>
  <conditionalFormatting sqref="C11 G7">
    <cfRule type="aboveAverage" dxfId="1448" priority="39"/>
  </conditionalFormatting>
  <conditionalFormatting sqref="E10 F9">
    <cfRule type="aboveAverage" dxfId="1447" priority="40"/>
  </conditionalFormatting>
  <conditionalFormatting sqref="D11 G8">
    <cfRule type="aboveAverage" dxfId="1446" priority="38"/>
  </conditionalFormatting>
  <conditionalFormatting sqref="G9 E11">
    <cfRule type="aboveAverage" dxfId="1445" priority="37"/>
  </conditionalFormatting>
  <conditionalFormatting sqref="F11 G10">
    <cfRule type="aboveAverage" dxfId="1444" priority="36"/>
  </conditionalFormatting>
  <conditionalFormatting sqref="B7:B11">
    <cfRule type="duplicateValues" dxfId="1443" priority="46"/>
  </conditionalFormatting>
  <conditionalFormatting sqref="C12 H7">
    <cfRule type="aboveAverage" dxfId="1442" priority="35"/>
  </conditionalFormatting>
  <conditionalFormatting sqref="D12 H8">
    <cfRule type="aboveAverage" dxfId="1441" priority="34"/>
  </conditionalFormatting>
  <conditionalFormatting sqref="E12 H9">
    <cfRule type="aboveAverage" dxfId="1440" priority="33"/>
  </conditionalFormatting>
  <conditionalFormatting sqref="F12 H10">
    <cfRule type="aboveAverage" dxfId="1439" priority="32"/>
  </conditionalFormatting>
  <conditionalFormatting sqref="G12 H11">
    <cfRule type="aboveAverage" dxfId="1438" priority="31"/>
  </conditionalFormatting>
  <conditionalFormatting sqref="C10 F7">
    <cfRule type="aboveAverage" dxfId="1437" priority="42"/>
  </conditionalFormatting>
  <conditionalFormatting sqref="P7:P12">
    <cfRule type="expression" dxfId="1436" priority="30">
      <formula>OR(AND(K7=1,L7=1,M7=0,N7=1),AND(K7=2,L7=2,M7=0,N7=2))</formula>
    </cfRule>
  </conditionalFormatting>
  <conditionalFormatting sqref="N7:N12">
    <cfRule type="expression" dxfId="1435" priority="23">
      <formula>AND(M7&gt;0,IF(COUNTIF(M$7:M$12,M7)&gt;1,TRUE,FALSE))</formula>
    </cfRule>
    <cfRule type="expression" dxfId="1434" priority="24">
      <formula>AND(IF(COUNTIF(S$7:S$12,"=1")=2,TRUE),IF(COUNTIF(S$15:S$20,"=2")=2,TRUE))</formula>
    </cfRule>
    <cfRule type="expression" dxfId="1433" priority="25">
      <formula>AND(S7=4,IF(COUNTIF(S$7:S$12,"=4")=1,TRUE))</formula>
    </cfRule>
    <cfRule type="expression" dxfId="1432" priority="26">
      <formula>AND(S7=3,IF(COUNTIF(S$7:S$12,"=3")=1,TRUE))</formula>
    </cfRule>
    <cfRule type="expression" dxfId="1431" priority="27">
      <formula>AND(S7=2,IF(COUNTIF(S$7:S$12,"=2")=1,TRUE))</formula>
    </cfRule>
    <cfRule type="expression" dxfId="1430" priority="28">
      <formula>AND(S7=1,IF(COUNTIF(S$7:S$12,"=1")=1,TRUE))</formula>
    </cfRule>
    <cfRule type="expression" dxfId="1429" priority="29">
      <formula>OR(S7=0,S7=5)</formula>
    </cfRule>
  </conditionalFormatting>
  <conditionalFormatting sqref="L7:L12">
    <cfRule type="expression" dxfId="1428" priority="14">
      <formula>AND(K7&gt;0,IF(COUNTIF(K$7:K$12,"=1")=2,TRUE),IF(COUNTIF(K$7:K$12,"=2")=2,TRUE))</formula>
    </cfRule>
    <cfRule type="expression" dxfId="1427" priority="15">
      <formula>IF(COUNTIF(M$7:M$12,"=2")=2,TRUE)</formula>
    </cfRule>
    <cfRule type="expression" dxfId="1426" priority="16">
      <formula>IF(COUNTIF(M$7:M$12,"=1")=2,TRUE)</formula>
    </cfRule>
    <cfRule type="expression" dxfId="1425" priority="17">
      <formula>AND(IF(COUNTIF(S$7:S$12,"=1")=2,TRUE),IF(COUNTIF(S$7:S$12,"=2")=2,TRUE))</formula>
    </cfRule>
    <cfRule type="expression" dxfId="1424" priority="18">
      <formula>AND(S7=4,IF(COUNTIF(S$7:S$12,"=4")=1,TRUE))</formula>
    </cfRule>
    <cfRule type="expression" dxfId="1423" priority="19">
      <formula>AND(S7=3,IF(COUNTIF(S$7:S$12,"=3")=1,TRUE))</formula>
    </cfRule>
    <cfRule type="expression" dxfId="1422" priority="20">
      <formula>AND(S7=2,IF(COUNTIF(S$7:S$12,"=2")=1,TRUE))</formula>
    </cfRule>
    <cfRule type="expression" dxfId="1421" priority="21">
      <formula>AND(S7=1,IF(COUNTIF(S$7:S$12,"=1")=1,TRUE))</formula>
    </cfRule>
    <cfRule type="expression" dxfId="1420" priority="22">
      <formula>OR(S7=0,S7=5)</formula>
    </cfRule>
  </conditionalFormatting>
  <conditionalFormatting sqref="K7:K12">
    <cfRule type="expression" dxfId="1419" priority="9">
      <formula>AND(R7=4,IF(COUNTIF(R$7:R$12,"=4")&gt;=2,TRUE))</formula>
    </cfRule>
    <cfRule type="expression" dxfId="1418" priority="10">
      <formula>AND(R7=3,IF(COUNTIF(R$7:R$12,"=3")&gt;=2,TRUE))</formula>
    </cfRule>
    <cfRule type="expression" dxfId="1417" priority="11">
      <formula>AND(R7=2,IF(COUNTIF(R$7:R$12,"=2")&gt;=2,TRUE))</formula>
    </cfRule>
    <cfRule type="expression" dxfId="1416" priority="12">
      <formula>AND(R7=1,IF(COUNTIF(R$7:R$12,"=1")&gt;=2,TRUE))</formula>
    </cfRule>
  </conditionalFormatting>
  <conditionalFormatting sqref="C16:C17">
    <cfRule type="aboveAverage" dxfId="1415" priority="8"/>
  </conditionalFormatting>
  <conditionalFormatting sqref="D16:D17">
    <cfRule type="aboveAverage" dxfId="1414" priority="7"/>
  </conditionalFormatting>
  <conditionalFormatting sqref="AI7:AI12">
    <cfRule type="expression" dxfId="1413" priority="1">
      <formula>AND(AJ7="",FIND(",",AI7))</formula>
    </cfRule>
    <cfRule type="expression" dxfId="1412" priority="6">
      <formula>AND(AJ7="",COUNTIF(AI7,"*,*")=0)</formula>
    </cfRule>
  </conditionalFormatting>
  <conditionalFormatting sqref="AK7:AK12">
    <cfRule type="expression" dxfId="1411" priority="5">
      <formula>AND(AL7="",COUNTIF(AK7,"*,*")=0)</formula>
    </cfRule>
  </conditionalFormatting>
  <conditionalFormatting sqref="AM7:AM12">
    <cfRule type="expression" dxfId="1410" priority="4">
      <formula>AND(AN7="",COUNTIF(AM7,"*,*")=0)</formula>
    </cfRule>
  </conditionalFormatting>
  <conditionalFormatting sqref="AG7:AG12">
    <cfRule type="expression" dxfId="1409" priority="3">
      <formula>AND(AH7="",COUNTIF(AG7,"*,*")=0)</formula>
    </cfRule>
  </conditionalFormatting>
  <conditionalFormatting sqref="AE7:AE12">
    <cfRule type="expression" dxfId="1408" priority="2">
      <formula>AND(AF7="",COUNTIF(AE7,"*,*")=0)</formula>
    </cfRule>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rowBreaks count="1" manualBreakCount="1">
    <brk id="297"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M310"/>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33.28515625"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8.28515625" hidden="1" customWidth="1"/>
    <col min="33" max="33" width="9.140625" hidden="1" customWidth="1"/>
    <col min="34" max="34" width="18.7109375" hidden="1" customWidth="1"/>
    <col min="35" max="35" width="9.140625" hidden="1" customWidth="1"/>
    <col min="36" max="36" width="17.28515625" hidden="1" customWidth="1"/>
    <col min="37" max="37" width="9.140625" hidden="1" customWidth="1"/>
    <col min="38" max="38" width="13.85546875" hidden="1" customWidth="1"/>
  </cols>
  <sheetData>
    <row r="1" spans="1:39" x14ac:dyDescent="0.2">
      <c r="A1" s="742" t="str">
        <f>UPPER((Kalend!E10)&amp;" - "&amp;(Kalend!C10)&amp;" - "&amp;(Kalend!D10))</f>
        <v>2 - K-JÄRVE 18. KV 2. ETAPP - DUO</v>
      </c>
      <c r="B1" s="652"/>
      <c r="C1" s="653"/>
      <c r="D1" s="652"/>
      <c r="E1" s="652"/>
      <c r="F1" s="410" t="str">
        <f>HYPERLINK("#Kalend!I1","Kalender")</f>
        <v>Kalender</v>
      </c>
      <c r="G1" s="410"/>
      <c r="H1" s="410"/>
      <c r="I1" s="410"/>
      <c r="J1" s="654" t="str">
        <f>HYPERLINK("#Reit!R1","Reiting")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tr">
        <f>"Toimumisaeg: "&amp;(Kalend!A10)&amp;" kell "&amp;(Kalend!B10)</f>
        <v>Toimumisaeg: N, 16.05.2019 kell 18:00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52"/>
      <c r="AB2" s="652"/>
      <c r="AD2" s="652"/>
      <c r="AE2" s="652"/>
      <c r="AF2" s="652"/>
      <c r="AG2" s="652"/>
      <c r="AH2" s="652"/>
      <c r="AI2" s="652"/>
      <c r="AJ2" s="652"/>
      <c r="AK2" s="652"/>
      <c r="AL2" s="652"/>
      <c r="AM2" s="652"/>
    </row>
    <row r="3" spans="1:39" x14ac:dyDescent="0.2">
      <c r="A3" s="659" t="str">
        <f>"Toimumiskoht: "&amp;(Kalend!F10)</f>
        <v>Toimumiskoht: K-Järve spordihoone</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tr">
        <f>"Korraldaja: "&amp;(Kalend!G10)</f>
        <v>Korraldaja: Ivar Viljaste</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x14ac:dyDescent="0.2">
      <c r="A8" s="685">
        <v>1</v>
      </c>
      <c r="B8" s="686" t="s">
        <v>383</v>
      </c>
      <c r="C8" s="687">
        <v>8</v>
      </c>
      <c r="D8" s="688" t="s">
        <v>377</v>
      </c>
      <c r="E8" s="689">
        <v>11</v>
      </c>
      <c r="F8" s="690" t="s">
        <v>381</v>
      </c>
      <c r="G8" s="687">
        <v>13</v>
      </c>
      <c r="H8" s="688" t="s">
        <v>377</v>
      </c>
      <c r="I8" s="689">
        <v>6</v>
      </c>
      <c r="J8" s="690" t="s">
        <v>382</v>
      </c>
      <c r="K8" s="687">
        <v>13</v>
      </c>
      <c r="L8" s="688" t="s">
        <v>377</v>
      </c>
      <c r="M8" s="689">
        <v>11</v>
      </c>
      <c r="N8" s="690" t="s">
        <v>391</v>
      </c>
      <c r="O8" s="687">
        <v>13</v>
      </c>
      <c r="P8" s="688" t="s">
        <v>377</v>
      </c>
      <c r="Q8" s="689">
        <v>7</v>
      </c>
      <c r="R8" s="690" t="s">
        <v>392</v>
      </c>
      <c r="S8" s="687">
        <v>13</v>
      </c>
      <c r="T8" s="688" t="s">
        <v>377</v>
      </c>
      <c r="U8" s="689">
        <v>3</v>
      </c>
      <c r="V8" s="690" t="s">
        <v>451</v>
      </c>
      <c r="W8" s="691">
        <f>IF(C8&gt;E8,J$3,IF(C8&lt;E8,J$5,IF(ISNUMBER(C8),J$4,0)))+IF(G8&gt;I8,J$3,IF(G8&lt;I8,J$5,IF(ISNUMBER(G8),J$4,0)))+IF(K8&gt;M8,J$3,IF(K8&lt;M8,J$5,IF(ISNUMBER(K8),J$4,0)))+IF(O8&gt;Q8,J$3,IF(O8&lt;Q8,J$5,IF(ISNUMBER(O8),J$4,0)))+IF(S8&gt;U8,J$3,IF(S8&lt;U8,J$5,IF(ISNUMBER(S8),J$4,0)))</f>
        <v>4</v>
      </c>
      <c r="X8" s="692"/>
      <c r="Y8" s="687">
        <f>C8+G8+K8+O8+S8</f>
        <v>60</v>
      </c>
      <c r="Z8" s="688" t="s">
        <v>377</v>
      </c>
      <c r="AA8" s="693">
        <f>E8+I8+M8+Q8+U8</f>
        <v>38</v>
      </c>
      <c r="AB8" s="694">
        <f>Y8-AA8</f>
        <v>22</v>
      </c>
      <c r="AC8" s="695"/>
      <c r="AD8" s="708">
        <f t="shared" ref="AD8" ca="1" si="0">SUM(AE8:AL8)</f>
        <v>508</v>
      </c>
      <c r="AE8" s="709">
        <f ca="1">IFERROR(INDEX(Reit!I$8:I$64,MATCH(AF8,Reit!F$8:F$64,0)),"")</f>
        <v>258</v>
      </c>
      <c r="AF8" s="710" t="str">
        <f t="shared" ref="AF8" si="1">IFERROR(LEFT(B8,(FIND(",",B8,1)-1)),"")</f>
        <v>Elmo Lageda</v>
      </c>
      <c r="AG8" s="709">
        <f ca="1">IFERROR(INDEX(Reit!I$8:I$64,MATCH(AH8,Reit!F$8:F$64,0)),"")</f>
        <v>250</v>
      </c>
      <c r="AH8" s="710" t="str">
        <f t="shared" ref="AH8" si="2">IFERROR(MID(B8,FIND(", ",B8)+2,256),"")</f>
        <v>Tõnu Piik</v>
      </c>
      <c r="AI8" s="709" t="str">
        <f>IFERROR(INDEX(Reit!I$8:I$64,MATCH(AJ8,Reit!F$8:F$64,0)),"")</f>
        <v/>
      </c>
      <c r="AJ8" s="710" t="str">
        <f t="shared" ref="AJ8" si="3">IFERROR(MID(B8,FIND("^",SUBSTITUTE(B8,", ","^",1))+2,FIND("^",SUBSTITUTE(B8,", ","^",2))-FIND("^",SUBSTITUTE(B8,", ","^",1))-2),"")</f>
        <v/>
      </c>
      <c r="AK8" s="709" t="str">
        <f>IFERROR(INDEX(Reit!I$8:I$64,MATCH(AL8,Reit!F$8:F$64,0)),"")</f>
        <v/>
      </c>
      <c r="AL8" s="710" t="str">
        <f t="shared" ref="AL8" si="4">IFERROR(MID(B8,FIND(", ",B8,FIND(", ",B8,FIND(", ",B8))+1)+2,700),"")</f>
        <v/>
      </c>
      <c r="AM8" s="652"/>
    </row>
    <row r="9" spans="1:39" x14ac:dyDescent="0.2">
      <c r="A9" s="685">
        <v>2</v>
      </c>
      <c r="B9" s="686" t="s">
        <v>396</v>
      </c>
      <c r="C9" s="687">
        <v>13</v>
      </c>
      <c r="D9" s="688" t="s">
        <v>377</v>
      </c>
      <c r="E9" s="689">
        <v>9</v>
      </c>
      <c r="F9" s="690" t="s">
        <v>452</v>
      </c>
      <c r="G9" s="687">
        <v>13</v>
      </c>
      <c r="H9" s="688" t="s">
        <v>377</v>
      </c>
      <c r="I9" s="689">
        <v>1</v>
      </c>
      <c r="J9" s="690" t="s">
        <v>386</v>
      </c>
      <c r="K9" s="687">
        <v>13</v>
      </c>
      <c r="L9" s="688" t="s">
        <v>377</v>
      </c>
      <c r="M9" s="689">
        <v>5</v>
      </c>
      <c r="N9" s="690" t="s">
        <v>392</v>
      </c>
      <c r="O9" s="687">
        <v>0</v>
      </c>
      <c r="P9" s="688" t="s">
        <v>377</v>
      </c>
      <c r="Q9" s="689">
        <v>13</v>
      </c>
      <c r="R9" s="690" t="s">
        <v>451</v>
      </c>
      <c r="S9" s="687">
        <v>13</v>
      </c>
      <c r="T9" s="688" t="s">
        <v>377</v>
      </c>
      <c r="U9" s="689">
        <v>9</v>
      </c>
      <c r="V9" s="690" t="s">
        <v>444</v>
      </c>
      <c r="W9" s="691">
        <f t="shared" ref="W9:W18" si="5">IF(C9&gt;E9,J$3,IF(C9&lt;E9,J$5,IF(ISNUMBER(C9),J$4,0)))+IF(G9&gt;I9,J$3,IF(G9&lt;I9,J$5,IF(ISNUMBER(G9),J$4,0)))+IF(K9&gt;M9,J$3,IF(K9&lt;M9,J$5,IF(ISNUMBER(K9),J$4,0)))+IF(O9&gt;Q9,J$3,IF(O9&lt;Q9,J$5,IF(ISNUMBER(O9),J$4,0)))+IF(S9&gt;U9,J$3,IF(S9&lt;U9,J$5,IF(ISNUMBER(S9),J$4,0)))</f>
        <v>4</v>
      </c>
      <c r="X9" s="692"/>
      <c r="Y9" s="687">
        <f t="shared" ref="Y9:Y18" si="6">C9+G9+K9+O9+S9</f>
        <v>52</v>
      </c>
      <c r="Z9" s="688" t="s">
        <v>377</v>
      </c>
      <c r="AA9" s="693">
        <f t="shared" ref="AA9:AA18" si="7">E9+I9+M9+Q9+U9</f>
        <v>37</v>
      </c>
      <c r="AB9" s="694">
        <f t="shared" ref="AB9:AB18" si="8">Y9-AA9</f>
        <v>15</v>
      </c>
      <c r="AC9" s="695"/>
      <c r="AD9" s="708">
        <f t="shared" ref="AD9:AD18" ca="1" si="9">SUM(AE9:AL9)</f>
        <v>640</v>
      </c>
      <c r="AE9" s="709">
        <f ca="1">IFERROR(INDEX(Reit!I$8:I$64,MATCH(AF9,Reit!F$8:F$64,0)),"")</f>
        <v>310</v>
      </c>
      <c r="AF9" s="710" t="str">
        <f t="shared" ref="AF9:AF18" si="10">IFERROR(LEFT(B9,(FIND(",",B9,1)-1)),"")</f>
        <v>Jaan Sepp</v>
      </c>
      <c r="AG9" s="709">
        <f ca="1">IFERROR(INDEX(Reit!I$8:I$64,MATCH(AH9,Reit!F$8:F$64,0)),"")</f>
        <v>330</v>
      </c>
      <c r="AH9" s="710" t="str">
        <f t="shared" ref="AH9:AH18" si="11">IFERROR(MID(B9,FIND(", ",B9)+2,256),"")</f>
        <v>Oskar Sepp</v>
      </c>
      <c r="AI9" s="709" t="str">
        <f>IFERROR(INDEX(Reit!I$8:I$64,MATCH(AJ9,Reit!F$8:F$64,0)),"")</f>
        <v/>
      </c>
      <c r="AJ9" s="710" t="str">
        <f t="shared" ref="AJ9:AJ18" si="12">IFERROR(MID(B9,FIND("^",SUBSTITUTE(B9,", ","^",1))+2,FIND("^",SUBSTITUTE(B9,", ","^",2))-FIND("^",SUBSTITUTE(B9,", ","^",1))-2),"")</f>
        <v/>
      </c>
      <c r="AK9" s="709" t="str">
        <f>IFERROR(INDEX(Reit!I$8:I$64,MATCH(AL9,Reit!F$8:F$64,0)),"")</f>
        <v/>
      </c>
      <c r="AL9" s="710" t="str">
        <f t="shared" ref="AL9:AL18" si="13">IFERROR(MID(B9,FIND(", ",B9,FIND(", ",B9,FIND(", ",B9))+1)+2,700),"")</f>
        <v/>
      </c>
      <c r="AM9" s="652"/>
    </row>
    <row r="10" spans="1:39" x14ac:dyDescent="0.2">
      <c r="A10" s="685">
        <v>3</v>
      </c>
      <c r="B10" s="686" t="s">
        <v>392</v>
      </c>
      <c r="C10" s="687">
        <v>13</v>
      </c>
      <c r="D10" s="688" t="s">
        <v>377</v>
      </c>
      <c r="E10" s="689">
        <v>2</v>
      </c>
      <c r="F10" s="690" t="s">
        <v>444</v>
      </c>
      <c r="G10" s="687">
        <v>12</v>
      </c>
      <c r="H10" s="688" t="s">
        <v>377</v>
      </c>
      <c r="I10" s="689">
        <v>10</v>
      </c>
      <c r="J10" s="690" t="s">
        <v>451</v>
      </c>
      <c r="K10" s="687">
        <v>5</v>
      </c>
      <c r="L10" s="688" t="s">
        <v>377</v>
      </c>
      <c r="M10" s="689">
        <v>13</v>
      </c>
      <c r="N10" s="690" t="s">
        <v>396</v>
      </c>
      <c r="O10" s="687">
        <v>7</v>
      </c>
      <c r="P10" s="688" t="s">
        <v>377</v>
      </c>
      <c r="Q10" s="689">
        <v>13</v>
      </c>
      <c r="R10" s="690" t="s">
        <v>383</v>
      </c>
      <c r="S10" s="687">
        <v>13</v>
      </c>
      <c r="T10" s="688" t="s">
        <v>377</v>
      </c>
      <c r="U10" s="689">
        <v>10</v>
      </c>
      <c r="V10" s="690" t="s">
        <v>395</v>
      </c>
      <c r="W10" s="691">
        <f t="shared" si="5"/>
        <v>3</v>
      </c>
      <c r="X10" s="692"/>
      <c r="Y10" s="687">
        <f t="shared" si="6"/>
        <v>50</v>
      </c>
      <c r="Z10" s="688" t="s">
        <v>377</v>
      </c>
      <c r="AA10" s="693">
        <f t="shared" si="7"/>
        <v>48</v>
      </c>
      <c r="AB10" s="694">
        <f t="shared" si="8"/>
        <v>2</v>
      </c>
      <c r="AC10" s="695"/>
      <c r="AD10" s="708">
        <f t="shared" ca="1" si="9"/>
        <v>420</v>
      </c>
      <c r="AE10" s="709">
        <f ca="1">IFERROR(INDEX(Reit!I$8:I$64,MATCH(AF10,Reit!F$8:F$64,0)),"")</f>
        <v>196</v>
      </c>
      <c r="AF10" s="710" t="str">
        <f t="shared" si="10"/>
        <v>Aarne Välja</v>
      </c>
      <c r="AG10" s="709">
        <f ca="1">IFERROR(INDEX(Reit!I$8:I$64,MATCH(AH10,Reit!F$8:F$64,0)),"")</f>
        <v>224</v>
      </c>
      <c r="AH10" s="710" t="str">
        <f t="shared" si="11"/>
        <v>Janek Tarto</v>
      </c>
      <c r="AI10" s="709" t="str">
        <f>IFERROR(INDEX(Reit!I$8:I$64,MATCH(AJ10,Reit!F$8:F$64,0)),"")</f>
        <v/>
      </c>
      <c r="AJ10" s="710" t="str">
        <f t="shared" si="12"/>
        <v/>
      </c>
      <c r="AK10" s="709" t="str">
        <f>IFERROR(INDEX(Reit!I$8:I$64,MATCH(AL10,Reit!F$8:F$64,0)),"")</f>
        <v/>
      </c>
      <c r="AL10" s="710" t="str">
        <f t="shared" si="13"/>
        <v/>
      </c>
      <c r="AM10" s="652"/>
    </row>
    <row r="11" spans="1:39" x14ac:dyDescent="0.2">
      <c r="A11" s="685">
        <v>4</v>
      </c>
      <c r="B11" s="686" t="s">
        <v>451</v>
      </c>
      <c r="C11" s="687">
        <v>13</v>
      </c>
      <c r="D11" s="688" t="s">
        <v>377</v>
      </c>
      <c r="E11" s="689">
        <v>7</v>
      </c>
      <c r="F11" s="690" t="s">
        <v>388</v>
      </c>
      <c r="G11" s="687">
        <v>10</v>
      </c>
      <c r="H11" s="688" t="s">
        <v>377</v>
      </c>
      <c r="I11" s="689">
        <v>12</v>
      </c>
      <c r="J11" s="690" t="s">
        <v>392</v>
      </c>
      <c r="K11" s="687">
        <v>13</v>
      </c>
      <c r="L11" s="688" t="s">
        <v>377</v>
      </c>
      <c r="M11" s="689">
        <v>1</v>
      </c>
      <c r="N11" s="690" t="s">
        <v>381</v>
      </c>
      <c r="O11" s="687">
        <v>13</v>
      </c>
      <c r="P11" s="688" t="s">
        <v>377</v>
      </c>
      <c r="Q11" s="689">
        <v>0</v>
      </c>
      <c r="R11" s="690" t="s">
        <v>396</v>
      </c>
      <c r="S11" s="687">
        <v>3</v>
      </c>
      <c r="T11" s="688" t="s">
        <v>377</v>
      </c>
      <c r="U11" s="689">
        <v>13</v>
      </c>
      <c r="V11" s="690" t="s">
        <v>383</v>
      </c>
      <c r="W11" s="691">
        <f t="shared" si="5"/>
        <v>3</v>
      </c>
      <c r="X11" s="692"/>
      <c r="Y11" s="687">
        <f t="shared" si="6"/>
        <v>52</v>
      </c>
      <c r="Z11" s="688" t="s">
        <v>377</v>
      </c>
      <c r="AA11" s="693">
        <f t="shared" si="7"/>
        <v>33</v>
      </c>
      <c r="AB11" s="694">
        <f t="shared" si="8"/>
        <v>19</v>
      </c>
      <c r="AC11" s="695"/>
      <c r="AD11" s="708">
        <f t="shared" ca="1" si="9"/>
        <v>484</v>
      </c>
      <c r="AE11" s="709">
        <f ca="1">IFERROR(INDEX(Reit!I$8:I$64,MATCH(AF11,Reit!F$8:F$64,0)),"")</f>
        <v>364</v>
      </c>
      <c r="AF11" s="710" t="str">
        <f t="shared" si="10"/>
        <v>Ivar Viljaste</v>
      </c>
      <c r="AG11" s="709">
        <f ca="1">IFERROR(INDEX(Reit!I$8:I$64,MATCH(AH11,Reit!F$8:F$64,0)),"")</f>
        <v>120</v>
      </c>
      <c r="AH11" s="710" t="str">
        <f t="shared" si="11"/>
        <v>Kristo Viljaste</v>
      </c>
      <c r="AI11" s="709" t="str">
        <f>IFERROR(INDEX(Reit!I$8:I$64,MATCH(AJ11,Reit!F$8:F$64,0)),"")</f>
        <v/>
      </c>
      <c r="AJ11" s="710" t="str">
        <f t="shared" si="12"/>
        <v/>
      </c>
      <c r="AK11" s="709" t="str">
        <f>IFERROR(INDEX(Reit!I$8:I$64,MATCH(AL11,Reit!F$8:F$64,0)),"")</f>
        <v/>
      </c>
      <c r="AL11" s="710" t="str">
        <f t="shared" si="13"/>
        <v/>
      </c>
      <c r="AM11" s="652"/>
    </row>
    <row r="12" spans="1:39" x14ac:dyDescent="0.2">
      <c r="A12" s="685">
        <v>5</v>
      </c>
      <c r="B12" s="686" t="s">
        <v>444</v>
      </c>
      <c r="C12" s="687">
        <v>2</v>
      </c>
      <c r="D12" s="688" t="s">
        <v>377</v>
      </c>
      <c r="E12" s="689">
        <v>13</v>
      </c>
      <c r="F12" s="690" t="s">
        <v>392</v>
      </c>
      <c r="G12" s="687">
        <v>13</v>
      </c>
      <c r="H12" s="688" t="s">
        <v>377</v>
      </c>
      <c r="I12" s="689">
        <v>7</v>
      </c>
      <c r="J12" s="690" t="s">
        <v>388</v>
      </c>
      <c r="K12" s="687">
        <v>13</v>
      </c>
      <c r="L12" s="688" t="s">
        <v>377</v>
      </c>
      <c r="M12" s="689">
        <v>10</v>
      </c>
      <c r="N12" s="690" t="s">
        <v>395</v>
      </c>
      <c r="O12" s="687">
        <v>11</v>
      </c>
      <c r="P12" s="688" t="s">
        <v>377</v>
      </c>
      <c r="Q12" s="689">
        <v>7</v>
      </c>
      <c r="R12" s="690" t="s">
        <v>381</v>
      </c>
      <c r="S12" s="687">
        <v>9</v>
      </c>
      <c r="T12" s="688" t="s">
        <v>377</v>
      </c>
      <c r="U12" s="689">
        <v>13</v>
      </c>
      <c r="V12" s="690" t="s">
        <v>396</v>
      </c>
      <c r="W12" s="691">
        <f t="shared" si="5"/>
        <v>3</v>
      </c>
      <c r="X12" s="692"/>
      <c r="Y12" s="687">
        <f t="shared" si="6"/>
        <v>48</v>
      </c>
      <c r="Z12" s="688" t="s">
        <v>377</v>
      </c>
      <c r="AA12" s="693">
        <f t="shared" si="7"/>
        <v>50</v>
      </c>
      <c r="AB12" s="694">
        <f t="shared" si="8"/>
        <v>-2</v>
      </c>
      <c r="AC12" s="695"/>
      <c r="AD12" s="708">
        <f t="shared" ca="1" si="9"/>
        <v>332</v>
      </c>
      <c r="AE12" s="709">
        <f ca="1">IFERROR(INDEX(Reit!I$8:I$64,MATCH(AF12,Reit!F$8:F$64,0)),"")</f>
        <v>74</v>
      </c>
      <c r="AF12" s="710" t="str">
        <f t="shared" si="10"/>
        <v>Karla Purgats</v>
      </c>
      <c r="AG12" s="709">
        <f ca="1">IFERROR(INDEX(Reit!I$8:I$64,MATCH(AH12,Reit!F$8:F$64,0)),"")</f>
        <v>258</v>
      </c>
      <c r="AH12" s="710" t="str">
        <f t="shared" si="11"/>
        <v>Kenneth Muusikus</v>
      </c>
      <c r="AI12" s="709" t="str">
        <f>IFERROR(INDEX(Reit!I$8:I$64,MATCH(AJ12,Reit!F$8:F$64,0)),"")</f>
        <v/>
      </c>
      <c r="AJ12" s="710" t="str">
        <f t="shared" si="12"/>
        <v/>
      </c>
      <c r="AK12" s="709" t="str">
        <f>IFERROR(INDEX(Reit!I$8:I$64,MATCH(AL12,Reit!F$8:F$64,0)),"")</f>
        <v/>
      </c>
      <c r="AL12" s="710" t="str">
        <f t="shared" si="13"/>
        <v/>
      </c>
      <c r="AM12" s="652"/>
    </row>
    <row r="13" spans="1:39" x14ac:dyDescent="0.2">
      <c r="A13" s="685">
        <v>6</v>
      </c>
      <c r="B13" s="686" t="s">
        <v>381</v>
      </c>
      <c r="C13" s="687">
        <v>11</v>
      </c>
      <c r="D13" s="688" t="s">
        <v>377</v>
      </c>
      <c r="E13" s="689">
        <v>8</v>
      </c>
      <c r="F13" s="690" t="s">
        <v>383</v>
      </c>
      <c r="G13" s="687">
        <v>13</v>
      </c>
      <c r="H13" s="688" t="s">
        <v>377</v>
      </c>
      <c r="I13" s="689">
        <v>11</v>
      </c>
      <c r="J13" s="690" t="s">
        <v>395</v>
      </c>
      <c r="K13" s="687">
        <v>1</v>
      </c>
      <c r="L13" s="688" t="s">
        <v>377</v>
      </c>
      <c r="M13" s="689">
        <v>13</v>
      </c>
      <c r="N13" s="690" t="s">
        <v>451</v>
      </c>
      <c r="O13" s="687">
        <v>7</v>
      </c>
      <c r="P13" s="688" t="s">
        <v>377</v>
      </c>
      <c r="Q13" s="689">
        <v>11</v>
      </c>
      <c r="R13" s="690" t="s">
        <v>444</v>
      </c>
      <c r="S13" s="687">
        <v>13</v>
      </c>
      <c r="T13" s="688" t="s">
        <v>377</v>
      </c>
      <c r="U13" s="689">
        <v>2</v>
      </c>
      <c r="V13" s="690" t="s">
        <v>382</v>
      </c>
      <c r="W13" s="691">
        <f t="shared" si="5"/>
        <v>3</v>
      </c>
      <c r="X13" s="692"/>
      <c r="Y13" s="687">
        <f t="shared" si="6"/>
        <v>45</v>
      </c>
      <c r="Z13" s="688" t="s">
        <v>377</v>
      </c>
      <c r="AA13" s="693">
        <f t="shared" si="7"/>
        <v>45</v>
      </c>
      <c r="AB13" s="694">
        <f t="shared" si="8"/>
        <v>0</v>
      </c>
      <c r="AC13" s="695"/>
      <c r="AD13" s="708">
        <f t="shared" ca="1" si="9"/>
        <v>282</v>
      </c>
      <c r="AE13" s="709">
        <f ca="1">IFERROR(INDEX(Reit!I$8:I$64,MATCH(AF13,Reit!F$8:F$64,0)),"")</f>
        <v>158</v>
      </c>
      <c r="AF13" s="710" t="str">
        <f t="shared" si="10"/>
        <v>Tõnu Kapper</v>
      </c>
      <c r="AG13" s="709">
        <f ca="1">IFERROR(INDEX(Reit!I$8:I$64,MATCH(AH13,Reit!F$8:F$64,0)),"")</f>
        <v>124</v>
      </c>
      <c r="AH13" s="710" t="str">
        <f t="shared" si="11"/>
        <v>Vladimir Ogneštšikov</v>
      </c>
      <c r="AI13" s="709" t="str">
        <f>IFERROR(INDEX(Reit!I$8:I$64,MATCH(AJ13,Reit!F$8:F$64,0)),"")</f>
        <v/>
      </c>
      <c r="AJ13" s="710" t="str">
        <f t="shared" si="12"/>
        <v/>
      </c>
      <c r="AK13" s="709" t="str">
        <f>IFERROR(INDEX(Reit!I$8:I$64,MATCH(AL13,Reit!F$8:F$64,0)),"")</f>
        <v/>
      </c>
      <c r="AL13" s="710" t="str">
        <f t="shared" si="13"/>
        <v/>
      </c>
      <c r="AM13" s="652"/>
    </row>
    <row r="14" spans="1:39" x14ac:dyDescent="0.2">
      <c r="A14" s="685">
        <v>7</v>
      </c>
      <c r="B14" s="696" t="s">
        <v>395</v>
      </c>
      <c r="C14" s="687">
        <v>13</v>
      </c>
      <c r="D14" s="688" t="s">
        <v>377</v>
      </c>
      <c r="E14" s="689">
        <v>12</v>
      </c>
      <c r="F14" s="690" t="s">
        <v>382</v>
      </c>
      <c r="G14" s="687">
        <v>11</v>
      </c>
      <c r="H14" s="688" t="s">
        <v>377</v>
      </c>
      <c r="I14" s="689">
        <v>13</v>
      </c>
      <c r="J14" s="690" t="s">
        <v>381</v>
      </c>
      <c r="K14" s="687">
        <v>10</v>
      </c>
      <c r="L14" s="688" t="s">
        <v>377</v>
      </c>
      <c r="M14" s="689">
        <v>13</v>
      </c>
      <c r="N14" s="690" t="s">
        <v>444</v>
      </c>
      <c r="O14" s="687">
        <v>13</v>
      </c>
      <c r="P14" s="688" t="s">
        <v>377</v>
      </c>
      <c r="Q14" s="689">
        <v>3</v>
      </c>
      <c r="R14" s="690" t="s">
        <v>452</v>
      </c>
      <c r="S14" s="687">
        <v>10</v>
      </c>
      <c r="T14" s="688" t="s">
        <v>377</v>
      </c>
      <c r="U14" s="689">
        <v>13</v>
      </c>
      <c r="V14" s="690" t="s">
        <v>392</v>
      </c>
      <c r="W14" s="691">
        <f t="shared" si="5"/>
        <v>2</v>
      </c>
      <c r="X14" s="692"/>
      <c r="Y14" s="687">
        <f t="shared" si="6"/>
        <v>57</v>
      </c>
      <c r="Z14" s="688" t="s">
        <v>377</v>
      </c>
      <c r="AA14" s="693">
        <f t="shared" si="7"/>
        <v>54</v>
      </c>
      <c r="AB14" s="694">
        <f t="shared" si="8"/>
        <v>3</v>
      </c>
      <c r="AC14" s="695"/>
      <c r="AD14" s="708">
        <f t="shared" ca="1" si="9"/>
        <v>394</v>
      </c>
      <c r="AE14" s="709">
        <f ca="1">IFERROR(INDEX(Reit!I$8:I$64,MATCH(AF14,Reit!F$8:F$64,0)),"")</f>
        <v>234</v>
      </c>
      <c r="AF14" s="710" t="str">
        <f t="shared" si="10"/>
        <v>Andres Veski</v>
      </c>
      <c r="AG14" s="709">
        <f ca="1">IFERROR(INDEX(Reit!I$8:I$64,MATCH(AH14,Reit!F$8:F$64,0)),"")</f>
        <v>160</v>
      </c>
      <c r="AH14" s="710" t="str">
        <f t="shared" si="11"/>
        <v>Svetlana Veski</v>
      </c>
      <c r="AI14" s="709" t="str">
        <f>IFERROR(INDEX(Reit!I$8:I$64,MATCH(AJ14,Reit!F$8:F$64,0)),"")</f>
        <v/>
      </c>
      <c r="AJ14" s="710" t="str">
        <f t="shared" si="12"/>
        <v/>
      </c>
      <c r="AK14" s="709" t="str">
        <f>IFERROR(INDEX(Reit!I$8:I$64,MATCH(AL14,Reit!F$8:F$64,0)),"")</f>
        <v/>
      </c>
      <c r="AL14" s="710" t="str">
        <f t="shared" si="13"/>
        <v/>
      </c>
      <c r="AM14" s="652"/>
    </row>
    <row r="15" spans="1:39" x14ac:dyDescent="0.2">
      <c r="A15" s="685">
        <v>8</v>
      </c>
      <c r="B15" s="696" t="s">
        <v>382</v>
      </c>
      <c r="C15" s="687">
        <v>12</v>
      </c>
      <c r="D15" s="688" t="s">
        <v>377</v>
      </c>
      <c r="E15" s="689">
        <v>13</v>
      </c>
      <c r="F15" s="690" t="s">
        <v>395</v>
      </c>
      <c r="G15" s="687">
        <v>6</v>
      </c>
      <c r="H15" s="688" t="s">
        <v>377</v>
      </c>
      <c r="I15" s="689">
        <v>13</v>
      </c>
      <c r="J15" s="690" t="s">
        <v>383</v>
      </c>
      <c r="K15" s="687">
        <v>13</v>
      </c>
      <c r="L15" s="688" t="s">
        <v>377</v>
      </c>
      <c r="M15" s="689">
        <v>2</v>
      </c>
      <c r="N15" s="690" t="s">
        <v>386</v>
      </c>
      <c r="O15" s="687">
        <v>13</v>
      </c>
      <c r="P15" s="688" t="s">
        <v>377</v>
      </c>
      <c r="Q15" s="689">
        <v>7</v>
      </c>
      <c r="R15" s="690" t="s">
        <v>391</v>
      </c>
      <c r="S15" s="687">
        <v>2</v>
      </c>
      <c r="T15" s="688" t="s">
        <v>377</v>
      </c>
      <c r="U15" s="689">
        <v>13</v>
      </c>
      <c r="V15" s="690" t="s">
        <v>381</v>
      </c>
      <c r="W15" s="691">
        <f t="shared" si="5"/>
        <v>2</v>
      </c>
      <c r="X15" s="692"/>
      <c r="Y15" s="687">
        <f t="shared" si="6"/>
        <v>46</v>
      </c>
      <c r="Z15" s="688" t="s">
        <v>377</v>
      </c>
      <c r="AA15" s="693">
        <f t="shared" si="7"/>
        <v>48</v>
      </c>
      <c r="AB15" s="694">
        <f t="shared" si="8"/>
        <v>-2</v>
      </c>
      <c r="AC15" s="695"/>
      <c r="AD15" s="708">
        <f t="shared" ca="1" si="9"/>
        <v>522</v>
      </c>
      <c r="AE15" s="709">
        <f ca="1">IFERROR(INDEX(Reit!I$8:I$64,MATCH(AF15,Reit!F$8:F$64,0)),"")</f>
        <v>228</v>
      </c>
      <c r="AF15" s="710" t="str">
        <f t="shared" si="10"/>
        <v>Mait Metsla</v>
      </c>
      <c r="AG15" s="709">
        <f ca="1">IFERROR(INDEX(Reit!I$8:I$64,MATCH(AH15,Reit!F$8:F$64,0)),"")</f>
        <v>294</v>
      </c>
      <c r="AH15" s="710" t="str">
        <f t="shared" si="11"/>
        <v>Matti Vinni</v>
      </c>
      <c r="AI15" s="709" t="str">
        <f>IFERROR(INDEX(Reit!I$8:I$64,MATCH(AJ15,Reit!F$8:F$64,0)),"")</f>
        <v/>
      </c>
      <c r="AJ15" s="710" t="str">
        <f t="shared" si="12"/>
        <v/>
      </c>
      <c r="AK15" s="709" t="str">
        <f>IFERROR(INDEX(Reit!I$8:I$64,MATCH(AL15,Reit!F$8:F$64,0)),"")</f>
        <v/>
      </c>
      <c r="AL15" s="710" t="str">
        <f t="shared" si="13"/>
        <v/>
      </c>
      <c r="AM15" s="652"/>
    </row>
    <row r="16" spans="1:39" x14ac:dyDescent="0.2">
      <c r="A16" s="685">
        <v>9</v>
      </c>
      <c r="B16" s="686" t="s">
        <v>452</v>
      </c>
      <c r="C16" s="687">
        <v>9</v>
      </c>
      <c r="D16" s="688" t="s">
        <v>377</v>
      </c>
      <c r="E16" s="689">
        <v>13</v>
      </c>
      <c r="F16" s="690" t="s">
        <v>396</v>
      </c>
      <c r="G16" s="687">
        <v>8</v>
      </c>
      <c r="H16" s="688" t="s">
        <v>377</v>
      </c>
      <c r="I16" s="689">
        <v>13</v>
      </c>
      <c r="J16" s="690" t="s">
        <v>391</v>
      </c>
      <c r="K16" s="687">
        <v>13</v>
      </c>
      <c r="L16" s="688" t="s">
        <v>377</v>
      </c>
      <c r="M16" s="689">
        <v>7</v>
      </c>
      <c r="N16" s="690" t="s">
        <v>388</v>
      </c>
      <c r="O16" s="687">
        <v>3</v>
      </c>
      <c r="P16" s="688" t="s">
        <v>377</v>
      </c>
      <c r="Q16" s="689">
        <v>13</v>
      </c>
      <c r="R16" s="690" t="s">
        <v>395</v>
      </c>
      <c r="S16" s="687">
        <v>13</v>
      </c>
      <c r="T16" s="688" t="s">
        <v>377</v>
      </c>
      <c r="U16" s="689">
        <v>4</v>
      </c>
      <c r="V16" s="690" t="s">
        <v>386</v>
      </c>
      <c r="W16" s="691">
        <f t="shared" si="5"/>
        <v>2</v>
      </c>
      <c r="X16" s="692"/>
      <c r="Y16" s="687">
        <f t="shared" si="6"/>
        <v>46</v>
      </c>
      <c r="Z16" s="688" t="s">
        <v>377</v>
      </c>
      <c r="AA16" s="693">
        <f t="shared" si="7"/>
        <v>50</v>
      </c>
      <c r="AB16" s="694">
        <f t="shared" si="8"/>
        <v>-4</v>
      </c>
      <c r="AC16" s="695"/>
      <c r="AD16" s="708">
        <f t="shared" ca="1" si="9"/>
        <v>123</v>
      </c>
      <c r="AE16" s="709">
        <f ca="1">IFERROR(INDEX(Reit!I$8:I$64,MATCH(AF16,Reit!F$8:F$64,0)),"")</f>
        <v>86</v>
      </c>
      <c r="AF16" s="710" t="str">
        <f t="shared" si="10"/>
        <v>Johannes Neiland</v>
      </c>
      <c r="AG16" s="709">
        <f ca="1">IFERROR(INDEX(Reit!I$8:I$64,MATCH(AH16,Reit!F$8:F$64,0)),"")</f>
        <v>37</v>
      </c>
      <c r="AH16" s="710" t="str">
        <f t="shared" si="11"/>
        <v>Urmas Jõeäär</v>
      </c>
      <c r="AI16" s="709" t="str">
        <f>IFERROR(INDEX(Reit!I$8:I$64,MATCH(AJ16,Reit!F$8:F$64,0)),"")</f>
        <v/>
      </c>
      <c r="AJ16" s="710" t="str">
        <f t="shared" si="12"/>
        <v/>
      </c>
      <c r="AK16" s="709" t="str">
        <f>IFERROR(INDEX(Reit!I$8:I$64,MATCH(AL16,Reit!F$8:F$64,0)),"")</f>
        <v/>
      </c>
      <c r="AL16" s="710" t="str">
        <f t="shared" si="13"/>
        <v/>
      </c>
      <c r="AM16" s="652"/>
    </row>
    <row r="17" spans="1:39" x14ac:dyDescent="0.2">
      <c r="A17" s="685">
        <v>10</v>
      </c>
      <c r="B17" s="686" t="s">
        <v>391</v>
      </c>
      <c r="C17" s="687">
        <v>7</v>
      </c>
      <c r="D17" s="688" t="s">
        <v>377</v>
      </c>
      <c r="E17" s="689">
        <v>13</v>
      </c>
      <c r="F17" s="690" t="s">
        <v>386</v>
      </c>
      <c r="G17" s="687">
        <v>13</v>
      </c>
      <c r="H17" s="688" t="s">
        <v>377</v>
      </c>
      <c r="I17" s="689">
        <v>8</v>
      </c>
      <c r="J17" s="690" t="s">
        <v>452</v>
      </c>
      <c r="K17" s="687">
        <v>11</v>
      </c>
      <c r="L17" s="688" t="s">
        <v>377</v>
      </c>
      <c r="M17" s="689">
        <v>13</v>
      </c>
      <c r="N17" s="690" t="s">
        <v>383</v>
      </c>
      <c r="O17" s="687">
        <v>7</v>
      </c>
      <c r="P17" s="688" t="s">
        <v>377</v>
      </c>
      <c r="Q17" s="689">
        <v>13</v>
      </c>
      <c r="R17" s="690" t="s">
        <v>382</v>
      </c>
      <c r="S17" s="687">
        <v>13</v>
      </c>
      <c r="T17" s="688" t="s">
        <v>377</v>
      </c>
      <c r="U17" s="689">
        <v>7</v>
      </c>
      <c r="V17" s="690" t="s">
        <v>388</v>
      </c>
      <c r="W17" s="691">
        <f t="shared" si="5"/>
        <v>2</v>
      </c>
      <c r="X17" s="692"/>
      <c r="Y17" s="687">
        <f t="shared" si="6"/>
        <v>51</v>
      </c>
      <c r="Z17" s="688" t="s">
        <v>377</v>
      </c>
      <c r="AA17" s="693">
        <f t="shared" si="7"/>
        <v>54</v>
      </c>
      <c r="AB17" s="694">
        <f t="shared" si="8"/>
        <v>-3</v>
      </c>
      <c r="AC17" s="695"/>
      <c r="AD17" s="708">
        <f t="shared" ca="1" si="9"/>
        <v>347</v>
      </c>
      <c r="AE17" s="709">
        <f ca="1">IFERROR(INDEX(Reit!I$8:I$64,MATCH(AF17,Reit!F$8:F$64,0)),"")</f>
        <v>89</v>
      </c>
      <c r="AF17" s="710" t="str">
        <f t="shared" si="10"/>
        <v>Oksana Rõndenkova</v>
      </c>
      <c r="AG17" s="709">
        <f ca="1">IFERROR(INDEX(Reit!I$8:I$64,MATCH(AH17,Reit!F$8:F$64,0)),"")</f>
        <v>258</v>
      </c>
      <c r="AH17" s="710" t="str">
        <f t="shared" si="11"/>
        <v>Oleg Rõndenkov</v>
      </c>
      <c r="AI17" s="709" t="str">
        <f>IFERROR(INDEX(Reit!I$8:I$64,MATCH(AJ17,Reit!F$8:F$64,0)),"")</f>
        <v/>
      </c>
      <c r="AJ17" s="710" t="str">
        <f t="shared" si="12"/>
        <v/>
      </c>
      <c r="AK17" s="709" t="str">
        <f>IFERROR(INDEX(Reit!I$8:I$64,MATCH(AL17,Reit!F$8:F$64,0)),"")</f>
        <v/>
      </c>
      <c r="AL17" s="710" t="str">
        <f t="shared" si="13"/>
        <v/>
      </c>
      <c r="AM17" s="652"/>
    </row>
    <row r="18" spans="1:39" x14ac:dyDescent="0.2">
      <c r="A18" s="685">
        <v>11</v>
      </c>
      <c r="B18" s="696" t="s">
        <v>386</v>
      </c>
      <c r="C18" s="687">
        <v>13</v>
      </c>
      <c r="D18" s="688" t="s">
        <v>377</v>
      </c>
      <c r="E18" s="689">
        <v>7</v>
      </c>
      <c r="F18" s="690" t="s">
        <v>391</v>
      </c>
      <c r="G18" s="687">
        <v>1</v>
      </c>
      <c r="H18" s="688" t="s">
        <v>377</v>
      </c>
      <c r="I18" s="689">
        <v>13</v>
      </c>
      <c r="J18" s="690" t="s">
        <v>396</v>
      </c>
      <c r="K18" s="687">
        <v>2</v>
      </c>
      <c r="L18" s="688" t="s">
        <v>377</v>
      </c>
      <c r="M18" s="689">
        <v>13</v>
      </c>
      <c r="N18" s="690" t="s">
        <v>382</v>
      </c>
      <c r="O18" s="687">
        <v>13</v>
      </c>
      <c r="P18" s="688" t="s">
        <v>377</v>
      </c>
      <c r="Q18" s="689">
        <v>7</v>
      </c>
      <c r="R18" s="690" t="s">
        <v>388</v>
      </c>
      <c r="S18" s="687">
        <v>4</v>
      </c>
      <c r="T18" s="688" t="s">
        <v>377</v>
      </c>
      <c r="U18" s="689">
        <v>13</v>
      </c>
      <c r="V18" s="690" t="s">
        <v>452</v>
      </c>
      <c r="W18" s="691">
        <f t="shared" si="5"/>
        <v>2</v>
      </c>
      <c r="X18" s="692"/>
      <c r="Y18" s="687">
        <f t="shared" si="6"/>
        <v>33</v>
      </c>
      <c r="Z18" s="688" t="s">
        <v>377</v>
      </c>
      <c r="AA18" s="693">
        <f t="shared" si="7"/>
        <v>53</v>
      </c>
      <c r="AB18" s="694">
        <f t="shared" si="8"/>
        <v>-20</v>
      </c>
      <c r="AC18" s="695"/>
      <c r="AD18" s="708">
        <f t="shared" ca="1" si="9"/>
        <v>87</v>
      </c>
      <c r="AE18" s="709">
        <f ca="1">IFERROR(INDEX(Reit!I$8:I$64,MATCH(AF18,Reit!F$8:F$64,0)),"")</f>
        <v>51</v>
      </c>
      <c r="AF18" s="710" t="str">
        <f t="shared" si="10"/>
        <v>Jaan Saar</v>
      </c>
      <c r="AG18" s="709">
        <f ca="1">IFERROR(INDEX(Reit!I$8:I$64,MATCH(AH18,Reit!F$8:F$64,0)),"")</f>
        <v>36</v>
      </c>
      <c r="AH18" s="710" t="str">
        <f t="shared" si="11"/>
        <v>Klavdia Piik</v>
      </c>
      <c r="AI18" s="709" t="str">
        <f>IFERROR(INDEX(Reit!I$8:I$64,MATCH(AJ18,Reit!F$8:F$64,0)),"")</f>
        <v/>
      </c>
      <c r="AJ18" s="710" t="str">
        <f t="shared" si="12"/>
        <v/>
      </c>
      <c r="AK18" s="709" t="str">
        <f>IFERROR(INDEX(Reit!I$8:I$64,MATCH(AL18,Reit!F$8:F$64,0)),"")</f>
        <v/>
      </c>
      <c r="AL18" s="710" t="str">
        <f t="shared" si="13"/>
        <v/>
      </c>
      <c r="AM18" s="652"/>
    </row>
    <row r="19" spans="1:39" x14ac:dyDescent="0.2">
      <c r="A19" s="652"/>
      <c r="B19" s="652"/>
      <c r="C19" s="652"/>
      <c r="D19" s="652"/>
      <c r="E19" s="652"/>
      <c r="F19" s="652"/>
      <c r="G19" s="652"/>
      <c r="H19" s="652"/>
      <c r="I19" s="652"/>
      <c r="J19" s="652"/>
      <c r="K19" s="652"/>
      <c r="L19" s="652"/>
      <c r="M19" s="652"/>
      <c r="N19" s="652"/>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row>
    <row r="20" spans="1:39" x14ac:dyDescent="0.2">
      <c r="A20" s="712" t="s">
        <v>453</v>
      </c>
      <c r="B20" s="652"/>
      <c r="C20" s="652"/>
      <c r="D20" s="652"/>
      <c r="E20" s="652"/>
      <c r="F20" s="652"/>
      <c r="G20" s="652"/>
      <c r="H20" s="652"/>
      <c r="I20" s="652"/>
      <c r="J20" s="652"/>
      <c r="K20" s="652"/>
      <c r="L20" s="652"/>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row>
    <row r="21" spans="1:39" x14ac:dyDescent="0.2">
      <c r="A21" s="652"/>
      <c r="B21" s="652"/>
      <c r="C21" s="652"/>
      <c r="D21" s="652"/>
      <c r="E21" s="652"/>
      <c r="F21" s="652"/>
      <c r="G21" s="652"/>
      <c r="H21" s="652"/>
      <c r="I21" s="652"/>
      <c r="J21" s="652"/>
      <c r="K21" s="652"/>
      <c r="L21" s="652"/>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row>
    <row r="22" spans="1:39" x14ac:dyDescent="0.2">
      <c r="A22" s="713"/>
      <c r="B22" s="714"/>
      <c r="C22" s="715">
        <v>1</v>
      </c>
      <c r="D22" s="715"/>
      <c r="E22" s="715"/>
      <c r="F22" s="716">
        <v>2</v>
      </c>
      <c r="G22" s="715">
        <v>3</v>
      </c>
      <c r="H22" s="715"/>
      <c r="I22" s="715"/>
      <c r="J22" s="716">
        <v>4</v>
      </c>
      <c r="K22" s="717"/>
      <c r="L22" s="718"/>
      <c r="M22" s="719" t="s">
        <v>454</v>
      </c>
      <c r="O22" s="652"/>
      <c r="P22" s="652"/>
      <c r="Q22" s="697" t="s">
        <v>199</v>
      </c>
      <c r="R22" s="664"/>
      <c r="S22" s="652"/>
      <c r="T22" s="652"/>
      <c r="U22" s="652"/>
      <c r="V22" s="652"/>
      <c r="W22" s="652"/>
      <c r="X22" s="652"/>
      <c r="Y22" s="652"/>
      <c r="Z22" s="652"/>
      <c r="AA22" s="652"/>
      <c r="AB22" s="652"/>
      <c r="AC22" s="652"/>
      <c r="AD22" s="652"/>
      <c r="AE22" s="652"/>
      <c r="AF22" s="652"/>
      <c r="AG22" s="652"/>
      <c r="AH22" s="652"/>
      <c r="AI22" s="652"/>
      <c r="AJ22" s="652"/>
      <c r="AK22" s="652"/>
      <c r="AL22" s="652"/>
      <c r="AM22" s="652"/>
    </row>
    <row r="23" spans="1:39" x14ac:dyDescent="0.2">
      <c r="A23" s="720">
        <v>1</v>
      </c>
      <c r="B23" s="686" t="str">
        <f>B13</f>
        <v>Tõnu Kapper, Vladimir Ogneštšikov</v>
      </c>
      <c r="C23" s="721"/>
      <c r="D23" s="721"/>
      <c r="E23" s="721"/>
      <c r="F23" s="722">
        <v>1</v>
      </c>
      <c r="G23" s="718">
        <v>7</v>
      </c>
      <c r="H23" s="718"/>
      <c r="I23" s="718"/>
      <c r="J23" s="722"/>
      <c r="K23" s="723"/>
      <c r="L23" s="718"/>
      <c r="M23" s="724">
        <v>4</v>
      </c>
      <c r="O23" s="652"/>
      <c r="P23" s="652"/>
      <c r="Q23" s="698" t="s">
        <v>455</v>
      </c>
      <c r="R23" s="694"/>
      <c r="S23" s="652"/>
      <c r="T23" s="652"/>
      <c r="U23" s="652"/>
      <c r="V23" s="725" t="s">
        <v>456</v>
      </c>
      <c r="W23" s="652"/>
      <c r="X23" s="652"/>
      <c r="Y23" s="652"/>
      <c r="Z23" s="652"/>
      <c r="AA23" s="652"/>
      <c r="AB23" s="652"/>
      <c r="AC23" s="652"/>
      <c r="AD23" s="652"/>
      <c r="AE23" s="652"/>
      <c r="AF23" s="652"/>
      <c r="AG23" s="652"/>
      <c r="AH23" s="652"/>
      <c r="AI23" s="652"/>
      <c r="AJ23" s="652"/>
      <c r="AK23" s="652"/>
      <c r="AL23" s="652"/>
      <c r="AM23" s="652"/>
    </row>
    <row r="24" spans="1:39" x14ac:dyDescent="0.2">
      <c r="A24" s="720">
        <v>2</v>
      </c>
      <c r="B24" s="714" t="str">
        <f>B11</f>
        <v>Ivar Viljaste, Kristo Viljaste</v>
      </c>
      <c r="C24" s="715">
        <v>13</v>
      </c>
      <c r="D24" s="718"/>
      <c r="E24" s="718"/>
      <c r="F24" s="726"/>
      <c r="G24" s="718"/>
      <c r="H24" s="718"/>
      <c r="I24" s="718"/>
      <c r="J24" s="722">
        <v>10</v>
      </c>
      <c r="K24" s="723"/>
      <c r="L24" s="718"/>
      <c r="M24" s="724">
        <v>2</v>
      </c>
      <c r="O24" s="652"/>
      <c r="P24" s="652"/>
      <c r="Q24" s="698" t="s">
        <v>457</v>
      </c>
      <c r="R24" s="694">
        <v>19</v>
      </c>
      <c r="S24" s="652"/>
      <c r="T24" s="652"/>
      <c r="U24" s="652"/>
      <c r="V24" s="725" t="s">
        <v>458</v>
      </c>
      <c r="W24" s="652"/>
      <c r="X24" s="652"/>
      <c r="Y24" s="652"/>
      <c r="Z24" s="652"/>
      <c r="AA24" s="652"/>
      <c r="AB24" s="652"/>
      <c r="AC24" s="652"/>
      <c r="AD24" s="652"/>
      <c r="AE24" s="652"/>
      <c r="AF24" s="652"/>
      <c r="AG24" s="652"/>
      <c r="AH24" s="652"/>
      <c r="AI24" s="652"/>
      <c r="AJ24" s="652"/>
      <c r="AK24" s="652"/>
      <c r="AL24" s="652"/>
      <c r="AM24" s="652"/>
    </row>
    <row r="25" spans="1:39" x14ac:dyDescent="0.2">
      <c r="A25" s="720">
        <v>3</v>
      </c>
      <c r="B25" s="714" t="str">
        <f>B12</f>
        <v>Karla Purgats, Kenneth Muusikus</v>
      </c>
      <c r="C25" s="715">
        <v>11</v>
      </c>
      <c r="D25" s="718"/>
      <c r="E25" s="718"/>
      <c r="F25" s="722"/>
      <c r="G25" s="721"/>
      <c r="H25" s="721"/>
      <c r="I25" s="721"/>
      <c r="J25" s="722">
        <v>2</v>
      </c>
      <c r="K25" s="723"/>
      <c r="L25" s="718"/>
      <c r="M25" s="724">
        <v>3</v>
      </c>
      <c r="O25" s="652"/>
      <c r="P25" s="652"/>
      <c r="Q25" s="698" t="s">
        <v>457</v>
      </c>
      <c r="R25" s="694">
        <v>-2</v>
      </c>
      <c r="S25" s="652"/>
      <c r="T25" s="652"/>
      <c r="U25" s="652"/>
      <c r="V25" s="725" t="s">
        <v>459</v>
      </c>
      <c r="W25" s="652"/>
      <c r="X25" s="652"/>
      <c r="Y25" s="652"/>
      <c r="Z25" s="652"/>
      <c r="AA25" s="652"/>
      <c r="AB25" s="652"/>
      <c r="AC25" s="652"/>
      <c r="AD25" s="652"/>
      <c r="AE25" s="652"/>
      <c r="AF25" s="652"/>
      <c r="AG25" s="652"/>
      <c r="AH25" s="652"/>
      <c r="AI25" s="652"/>
      <c r="AJ25" s="652"/>
      <c r="AK25" s="652"/>
      <c r="AL25" s="652"/>
      <c r="AM25" s="652"/>
    </row>
    <row r="26" spans="1:39" x14ac:dyDescent="0.2">
      <c r="A26" s="720">
        <v>4</v>
      </c>
      <c r="B26" s="714" t="str">
        <f>B10</f>
        <v>Aarne Välja, Janek Tarto</v>
      </c>
      <c r="C26" s="718"/>
      <c r="D26" s="718"/>
      <c r="E26" s="718"/>
      <c r="F26" s="716">
        <v>12</v>
      </c>
      <c r="G26" s="715">
        <v>13</v>
      </c>
      <c r="H26" s="718"/>
      <c r="I26" s="718"/>
      <c r="J26" s="727"/>
      <c r="K26" s="723"/>
      <c r="L26" s="718"/>
      <c r="M26" s="724">
        <v>1</v>
      </c>
      <c r="O26" s="652"/>
      <c r="P26" s="652"/>
      <c r="Q26" s="698" t="s">
        <v>460</v>
      </c>
      <c r="R26" s="694"/>
      <c r="S26" s="652"/>
      <c r="T26" s="652"/>
      <c r="U26" s="652"/>
      <c r="V26" s="725" t="s">
        <v>461</v>
      </c>
      <c r="W26" s="652"/>
      <c r="X26" s="652"/>
      <c r="Y26" s="652"/>
      <c r="Z26" s="652"/>
      <c r="AA26" s="652"/>
      <c r="AB26" s="652"/>
      <c r="AC26" s="652"/>
      <c r="AD26" s="652"/>
      <c r="AE26" s="652"/>
      <c r="AF26" s="652"/>
      <c r="AG26" s="652"/>
      <c r="AH26" s="652"/>
      <c r="AI26" s="652"/>
      <c r="AJ26" s="652"/>
      <c r="AK26" s="652"/>
      <c r="AL26" s="652"/>
      <c r="AM26" s="652"/>
    </row>
    <row r="27" spans="1:39" x14ac:dyDescent="0.2">
      <c r="A27" s="652"/>
      <c r="B27" s="652"/>
      <c r="C27" s="652"/>
      <c r="D27" s="652"/>
      <c r="E27" s="652"/>
      <c r="F27" s="652"/>
      <c r="G27" s="652"/>
      <c r="H27" s="652"/>
      <c r="I27" s="652"/>
      <c r="J27" s="652"/>
      <c r="K27" s="652"/>
      <c r="L27" s="652"/>
      <c r="M27" s="652"/>
      <c r="O27" s="652"/>
      <c r="P27" s="652"/>
      <c r="Q27" s="652"/>
      <c r="R27" s="664"/>
      <c r="S27" s="652"/>
      <c r="T27" s="652"/>
      <c r="U27" s="652"/>
      <c r="V27" s="652"/>
      <c r="W27" s="652"/>
      <c r="X27" s="652"/>
      <c r="Y27" s="652"/>
      <c r="Z27" s="652"/>
      <c r="AA27" s="652"/>
      <c r="AB27" s="652"/>
      <c r="AC27" s="652"/>
      <c r="AD27" s="652"/>
      <c r="AE27" s="652"/>
      <c r="AF27" s="652"/>
      <c r="AG27" s="652"/>
      <c r="AH27" s="652"/>
      <c r="AI27" s="652"/>
      <c r="AJ27" s="652"/>
      <c r="AK27" s="652"/>
      <c r="AL27" s="652"/>
      <c r="AM27" s="652"/>
    </row>
    <row r="28" spans="1:39" x14ac:dyDescent="0.2">
      <c r="A28" s="712" t="s">
        <v>462</v>
      </c>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row>
    <row r="29" spans="1:39" x14ac:dyDescent="0.2">
      <c r="A29" s="652"/>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row>
    <row r="30" spans="1:39" x14ac:dyDescent="0.2">
      <c r="A30" s="713"/>
      <c r="B30" s="714"/>
      <c r="C30" s="715">
        <v>1</v>
      </c>
      <c r="D30" s="715"/>
      <c r="E30" s="715"/>
      <c r="F30" s="716">
        <v>2</v>
      </c>
      <c r="G30" s="715">
        <v>3</v>
      </c>
      <c r="H30" s="715"/>
      <c r="I30" s="715"/>
      <c r="J30" s="716">
        <v>4</v>
      </c>
      <c r="K30" s="720">
        <v>5</v>
      </c>
      <c r="L30" s="715"/>
      <c r="M30" s="728"/>
      <c r="N30" s="677" t="s">
        <v>454</v>
      </c>
      <c r="O30" s="652"/>
      <c r="P30" s="652"/>
      <c r="Q30" s="698" t="s">
        <v>199</v>
      </c>
      <c r="R30" s="664" t="s">
        <v>463</v>
      </c>
      <c r="S30" s="652"/>
      <c r="T30" s="652"/>
      <c r="U30" s="729"/>
      <c r="V30" s="652"/>
      <c r="W30" s="652"/>
      <c r="X30" s="652"/>
      <c r="Y30" s="652"/>
      <c r="Z30" s="652"/>
      <c r="AA30" s="652"/>
      <c r="AB30" s="652"/>
      <c r="AC30" s="652"/>
      <c r="AD30" s="652"/>
      <c r="AE30" s="652"/>
      <c r="AF30" s="652"/>
      <c r="AG30" s="652"/>
      <c r="AH30" s="652"/>
      <c r="AI30" s="652"/>
      <c r="AJ30" s="652"/>
      <c r="AK30" s="652"/>
      <c r="AL30" s="652"/>
      <c r="AM30" s="652"/>
    </row>
    <row r="31" spans="1:39" x14ac:dyDescent="0.2">
      <c r="A31" s="720">
        <v>1</v>
      </c>
      <c r="B31" s="714" t="str">
        <f>B15</f>
        <v>Mait Metsla, Matti Vinni</v>
      </c>
      <c r="C31" s="721"/>
      <c r="D31" s="721"/>
      <c r="E31" s="721"/>
      <c r="F31" s="716">
        <v>13</v>
      </c>
      <c r="G31" s="715">
        <v>13</v>
      </c>
      <c r="H31" s="718"/>
      <c r="I31" s="718"/>
      <c r="J31" s="722"/>
      <c r="K31" s="730">
        <v>12</v>
      </c>
      <c r="L31" s="731"/>
      <c r="M31" s="732"/>
      <c r="N31" s="716">
        <v>2</v>
      </c>
      <c r="O31" s="652"/>
      <c r="P31" s="652"/>
      <c r="Q31" s="664" t="s">
        <v>460</v>
      </c>
      <c r="R31" s="733" t="s">
        <v>320</v>
      </c>
      <c r="S31" s="652"/>
      <c r="T31" s="652"/>
      <c r="U31" s="694"/>
      <c r="V31" s="725" t="s">
        <v>464</v>
      </c>
      <c r="W31" s="652"/>
      <c r="X31" s="652"/>
      <c r="Y31" s="652"/>
      <c r="Z31" s="652"/>
      <c r="AA31" s="652"/>
      <c r="AB31" s="652"/>
      <c r="AC31" s="652"/>
      <c r="AD31" s="652"/>
      <c r="AE31" s="652"/>
      <c r="AF31" s="652"/>
      <c r="AG31" s="652"/>
      <c r="AH31" s="652"/>
      <c r="AI31" s="652"/>
      <c r="AJ31" s="652"/>
      <c r="AK31" s="652"/>
      <c r="AL31" s="652"/>
      <c r="AM31" s="652"/>
    </row>
    <row r="32" spans="1:39" x14ac:dyDescent="0.2">
      <c r="A32" s="720">
        <v>2</v>
      </c>
      <c r="B32" s="714" t="str">
        <f>B17</f>
        <v>Oksana Rõndenkova, Oleg Rõndenkov</v>
      </c>
      <c r="C32" s="718">
        <v>7</v>
      </c>
      <c r="D32" s="718"/>
      <c r="E32" s="718"/>
      <c r="F32" s="726"/>
      <c r="G32" s="734">
        <v>7</v>
      </c>
      <c r="H32" s="734"/>
      <c r="I32" s="734"/>
      <c r="J32" s="735">
        <v>13</v>
      </c>
      <c r="K32" s="723"/>
      <c r="L32" s="718"/>
      <c r="M32" s="683"/>
      <c r="N32" s="716">
        <v>4</v>
      </c>
      <c r="O32" s="652"/>
      <c r="P32" s="652"/>
      <c r="Q32" s="664" t="s">
        <v>457</v>
      </c>
      <c r="R32" s="736">
        <v>-1</v>
      </c>
      <c r="S32" s="652"/>
      <c r="T32" s="652"/>
      <c r="V32" s="725" t="s">
        <v>465</v>
      </c>
      <c r="W32" s="652"/>
      <c r="X32" s="652"/>
      <c r="Y32" s="652"/>
      <c r="Z32" s="652"/>
      <c r="AA32" s="652"/>
      <c r="AB32" s="652"/>
      <c r="AC32" s="652"/>
      <c r="AD32" s="652"/>
      <c r="AE32" s="652"/>
      <c r="AF32" s="652"/>
      <c r="AG32" s="652"/>
      <c r="AH32" s="652"/>
      <c r="AI32" s="652"/>
      <c r="AJ32" s="652"/>
      <c r="AK32" s="652"/>
      <c r="AL32" s="652"/>
      <c r="AM32" s="652"/>
    </row>
    <row r="33" spans="1:39" x14ac:dyDescent="0.2">
      <c r="A33" s="720">
        <v>3</v>
      </c>
      <c r="B33" s="714" t="str">
        <f>B18</f>
        <v>Jaan Saar, Klavdia Piik</v>
      </c>
      <c r="C33" s="718">
        <v>2</v>
      </c>
      <c r="D33" s="718"/>
      <c r="E33" s="718"/>
      <c r="F33" s="735">
        <v>13</v>
      </c>
      <c r="G33" s="721"/>
      <c r="H33" s="721"/>
      <c r="I33" s="721"/>
      <c r="J33" s="737">
        <v>4</v>
      </c>
      <c r="K33" s="723"/>
      <c r="L33" s="718"/>
      <c r="M33" s="683"/>
      <c r="N33" s="716">
        <v>5</v>
      </c>
      <c r="O33" s="652"/>
      <c r="P33" s="652"/>
      <c r="Q33" s="664" t="s">
        <v>457</v>
      </c>
      <c r="R33" s="736">
        <v>-3</v>
      </c>
      <c r="S33" s="652"/>
      <c r="T33" s="652"/>
      <c r="V33" s="725" t="s">
        <v>466</v>
      </c>
      <c r="W33" s="652"/>
      <c r="X33" s="652"/>
      <c r="Y33" s="652"/>
      <c r="Z33" s="652"/>
      <c r="AA33" s="652"/>
      <c r="AB33" s="652"/>
      <c r="AC33" s="652"/>
      <c r="AD33" s="652"/>
      <c r="AE33" s="652"/>
      <c r="AF33" s="652"/>
      <c r="AG33" s="652"/>
      <c r="AH33" s="652"/>
      <c r="AI33" s="652"/>
      <c r="AJ33" s="652"/>
      <c r="AK33" s="652"/>
      <c r="AL33" s="652"/>
      <c r="AM33" s="652"/>
    </row>
    <row r="34" spans="1:39" x14ac:dyDescent="0.2">
      <c r="A34" s="720">
        <v>4</v>
      </c>
      <c r="B34" s="714" t="str">
        <f>B16</f>
        <v>Johannes Neiland, Urmas Jõeäär</v>
      </c>
      <c r="C34" s="718"/>
      <c r="D34" s="718"/>
      <c r="E34" s="718"/>
      <c r="F34" s="737">
        <v>8</v>
      </c>
      <c r="G34" s="738">
        <v>13</v>
      </c>
      <c r="H34" s="734"/>
      <c r="I34" s="734"/>
      <c r="J34" s="726"/>
      <c r="K34" s="723">
        <v>3</v>
      </c>
      <c r="L34" s="718"/>
      <c r="M34" s="683"/>
      <c r="N34" s="716">
        <v>3</v>
      </c>
      <c r="O34" s="652"/>
      <c r="P34" s="652"/>
      <c r="Q34" s="664" t="s">
        <v>457</v>
      </c>
      <c r="R34" s="736">
        <v>4</v>
      </c>
      <c r="S34" s="652"/>
      <c r="T34" s="652"/>
      <c r="V34" s="725" t="s">
        <v>467</v>
      </c>
      <c r="W34" s="652"/>
      <c r="X34" s="652"/>
      <c r="Y34" s="652"/>
      <c r="Z34" s="652"/>
      <c r="AA34" s="652"/>
      <c r="AB34" s="652"/>
      <c r="AC34" s="652"/>
      <c r="AD34" s="652"/>
      <c r="AE34" s="652"/>
      <c r="AF34" s="652"/>
      <c r="AG34" s="652"/>
      <c r="AH34" s="652"/>
      <c r="AI34" s="652"/>
      <c r="AJ34" s="652"/>
      <c r="AK34" s="652"/>
      <c r="AL34" s="652"/>
      <c r="AM34" s="652"/>
    </row>
    <row r="35" spans="1:39" x14ac:dyDescent="0.2">
      <c r="A35" s="720">
        <v>5</v>
      </c>
      <c r="B35" s="714" t="str">
        <f>B14</f>
        <v>Andres Veski, Svetlana Veski</v>
      </c>
      <c r="C35" s="739">
        <v>13</v>
      </c>
      <c r="D35" s="731"/>
      <c r="E35" s="731"/>
      <c r="F35" s="722"/>
      <c r="G35" s="718"/>
      <c r="H35" s="718"/>
      <c r="I35" s="718"/>
      <c r="J35" s="716">
        <v>13</v>
      </c>
      <c r="K35" s="740"/>
      <c r="L35" s="721"/>
      <c r="M35" s="741"/>
      <c r="N35" s="716">
        <v>1</v>
      </c>
      <c r="O35" s="652"/>
      <c r="P35" s="652"/>
      <c r="Q35" s="664" t="s">
        <v>460</v>
      </c>
      <c r="R35" s="733" t="s">
        <v>319</v>
      </c>
      <c r="S35" s="652"/>
      <c r="T35" s="652"/>
      <c r="U35" s="694"/>
      <c r="V35" s="725" t="s">
        <v>468</v>
      </c>
      <c r="W35" s="652"/>
      <c r="X35" s="652"/>
      <c r="Y35" s="652"/>
      <c r="Z35" s="652"/>
      <c r="AA35" s="652"/>
      <c r="AB35" s="652"/>
      <c r="AC35" s="652"/>
      <c r="AD35" s="652"/>
      <c r="AE35" s="652"/>
      <c r="AF35" s="652"/>
      <c r="AG35" s="652"/>
      <c r="AH35" s="652"/>
      <c r="AI35" s="652"/>
      <c r="AJ35" s="652"/>
      <c r="AK35" s="652"/>
      <c r="AL35" s="652"/>
      <c r="AM35" s="652"/>
    </row>
    <row r="36" spans="1:39"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row>
    <row r="37" spans="1:39"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row>
    <row r="38" spans="1:39"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row>
    <row r="39" spans="1:39"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row>
    <row r="40" spans="1:39"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row>
    <row r="41" spans="1:39"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row>
    <row r="42" spans="1:39"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row>
    <row r="43" spans="1:39"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row>
    <row r="44" spans="1:39"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row>
    <row r="45" spans="1:39"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row>
    <row r="46" spans="1:39"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row>
    <row r="47" spans="1:39"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row>
    <row r="48" spans="1:39"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row>
    <row r="49" spans="1:39"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row>
    <row r="50" spans="1:39"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row>
    <row r="51" spans="1:39"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row>
    <row r="52" spans="1:39"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row>
    <row r="53" spans="1:39"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row>
    <row r="54" spans="1:39"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row>
    <row r="55" spans="1:39"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row>
    <row r="56" spans="1:39"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row>
    <row r="57" spans="1:39"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row>
    <row r="58" spans="1:39"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row>
    <row r="59" spans="1:39"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row>
    <row r="60" spans="1:39"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row>
    <row r="61" spans="1:39"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row>
    <row r="62" spans="1:39"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row>
    <row r="63" spans="1:39"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row>
    <row r="64" spans="1:39"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row>
    <row r="65" spans="1:39"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row>
    <row r="66" spans="1:39"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row>
    <row r="67" spans="1:39"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row>
    <row r="68" spans="1:39"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row>
    <row r="69" spans="1:39"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row>
    <row r="70" spans="1:39"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652"/>
      <c r="AF70" s="652"/>
      <c r="AG70" s="652"/>
      <c r="AH70" s="652"/>
      <c r="AI70" s="652"/>
      <c r="AJ70" s="652"/>
      <c r="AK70" s="652"/>
      <c r="AL70" s="652"/>
      <c r="AM70" s="652"/>
    </row>
    <row r="71" spans="1:39"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652"/>
      <c r="AF71" s="652"/>
      <c r="AG71" s="652"/>
      <c r="AH71" s="652"/>
      <c r="AI71" s="652"/>
      <c r="AJ71" s="652"/>
      <c r="AK71" s="652"/>
      <c r="AL71" s="652"/>
      <c r="AM71" s="652"/>
    </row>
    <row r="72" spans="1:39"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652"/>
      <c r="AF72" s="652"/>
      <c r="AG72" s="652"/>
      <c r="AH72" s="652"/>
      <c r="AI72" s="652"/>
      <c r="AJ72" s="652"/>
      <c r="AK72" s="652"/>
      <c r="AL72" s="652"/>
      <c r="AM72" s="652"/>
    </row>
    <row r="73" spans="1:39"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652"/>
      <c r="AF73" s="652"/>
      <c r="AG73" s="652"/>
      <c r="AH73" s="652"/>
      <c r="AI73" s="652"/>
      <c r="AJ73" s="652"/>
      <c r="AK73" s="652"/>
      <c r="AL73" s="652"/>
      <c r="AM73" s="652"/>
    </row>
    <row r="74" spans="1:39"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652"/>
      <c r="AF74" s="652"/>
      <c r="AG74" s="652"/>
      <c r="AH74" s="652"/>
      <c r="AI74" s="652"/>
      <c r="AJ74" s="652"/>
      <c r="AK74" s="652"/>
      <c r="AL74" s="652"/>
      <c r="AM74" s="652"/>
    </row>
    <row r="75" spans="1:39"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652"/>
      <c r="AF75" s="652"/>
      <c r="AG75" s="652"/>
      <c r="AH75" s="652"/>
      <c r="AI75" s="652"/>
      <c r="AJ75" s="652"/>
      <c r="AK75" s="652"/>
      <c r="AL75" s="652"/>
      <c r="AM75" s="652"/>
    </row>
    <row r="76" spans="1:39"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652"/>
      <c r="AF76" s="652"/>
      <c r="AG76" s="652"/>
      <c r="AH76" s="652"/>
      <c r="AI76" s="652"/>
      <c r="AJ76" s="652"/>
      <c r="AK76" s="652"/>
      <c r="AL76" s="652"/>
      <c r="AM76" s="652"/>
    </row>
    <row r="77" spans="1:39"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652"/>
      <c r="AI77" s="652"/>
      <c r="AJ77" s="652"/>
      <c r="AK77" s="652"/>
      <c r="AL77" s="652"/>
      <c r="AM77" s="652"/>
    </row>
    <row r="78" spans="1:39"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652"/>
      <c r="AI78" s="652"/>
      <c r="AJ78" s="652"/>
      <c r="AK78" s="652"/>
      <c r="AL78" s="652"/>
      <c r="AM78" s="652"/>
    </row>
    <row r="79" spans="1:39"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row>
    <row r="80" spans="1:39"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652"/>
      <c r="AI80" s="652"/>
      <c r="AJ80" s="652"/>
      <c r="AK80" s="652"/>
      <c r="AL80" s="652"/>
      <c r="AM80" s="652"/>
    </row>
    <row r="81" spans="1:39"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652"/>
      <c r="AI81" s="652"/>
      <c r="AJ81" s="652"/>
      <c r="AK81" s="652"/>
      <c r="AL81" s="652"/>
      <c r="AM81" s="652"/>
    </row>
    <row r="82" spans="1:39"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652"/>
      <c r="AI82" s="652"/>
      <c r="AJ82" s="652"/>
      <c r="AK82" s="652"/>
      <c r="AL82" s="652"/>
      <c r="AM82" s="652"/>
    </row>
    <row r="83" spans="1:39"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652"/>
      <c r="AI83" s="652"/>
      <c r="AJ83" s="652"/>
      <c r="AK83" s="652"/>
      <c r="AL83" s="652"/>
      <c r="AM83" s="652"/>
    </row>
    <row r="84" spans="1:39"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652"/>
      <c r="AI84" s="652"/>
      <c r="AJ84" s="652"/>
      <c r="AK84" s="652"/>
      <c r="AL84" s="652"/>
      <c r="AM84" s="652"/>
    </row>
    <row r="85" spans="1:39"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652"/>
      <c r="AI85" s="652"/>
      <c r="AJ85" s="652"/>
      <c r="AK85" s="652"/>
      <c r="AL85" s="652"/>
      <c r="AM85" s="652"/>
    </row>
    <row r="86" spans="1:39"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652"/>
      <c r="AI86" s="652"/>
      <c r="AJ86" s="652"/>
      <c r="AK86" s="652"/>
      <c r="AL86" s="652"/>
      <c r="AM86" s="652"/>
    </row>
    <row r="87" spans="1:39"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652"/>
      <c r="AI87" s="652"/>
      <c r="AJ87" s="652"/>
      <c r="AK87" s="652"/>
      <c r="AL87" s="652"/>
      <c r="AM87" s="652"/>
    </row>
    <row r="88" spans="1:39"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652"/>
      <c r="AI88" s="652"/>
      <c r="AJ88" s="652"/>
      <c r="AK88" s="652"/>
      <c r="AL88" s="652"/>
      <c r="AM88" s="652"/>
    </row>
    <row r="89" spans="1:39"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652"/>
      <c r="AI89" s="652"/>
      <c r="AJ89" s="652"/>
      <c r="AK89" s="652"/>
      <c r="AL89" s="652"/>
      <c r="AM89" s="652"/>
    </row>
    <row r="90" spans="1:39"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652"/>
      <c r="AI90" s="652"/>
      <c r="AJ90" s="652"/>
      <c r="AK90" s="652"/>
      <c r="AL90" s="652"/>
      <c r="AM90" s="652"/>
    </row>
    <row r="91" spans="1:39"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652"/>
      <c r="AI91" s="652"/>
      <c r="AJ91" s="652"/>
      <c r="AK91" s="652"/>
      <c r="AL91" s="652"/>
      <c r="AM91" s="652"/>
    </row>
    <row r="92" spans="1:39"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652"/>
      <c r="AI92" s="652"/>
      <c r="AJ92" s="652"/>
      <c r="AK92" s="652"/>
      <c r="AL92" s="652"/>
      <c r="AM92" s="652"/>
    </row>
    <row r="93" spans="1:39"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652"/>
      <c r="AI93" s="652"/>
      <c r="AJ93" s="652"/>
      <c r="AK93" s="652"/>
      <c r="AL93" s="652"/>
      <c r="AM93" s="652"/>
    </row>
    <row r="94" spans="1:39"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652"/>
      <c r="AI94" s="652"/>
      <c r="AJ94" s="652"/>
      <c r="AK94" s="652"/>
      <c r="AL94" s="652"/>
      <c r="AM94" s="652"/>
    </row>
    <row r="95" spans="1:39"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652"/>
      <c r="AF95" s="652"/>
      <c r="AG95" s="652"/>
      <c r="AH95" s="652"/>
      <c r="AI95" s="652"/>
      <c r="AJ95" s="652"/>
      <c r="AK95" s="652"/>
      <c r="AL95" s="652"/>
      <c r="AM95" s="652"/>
    </row>
    <row r="96" spans="1:39"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652"/>
      <c r="AF96" s="652"/>
      <c r="AG96" s="652"/>
      <c r="AH96" s="652"/>
      <c r="AI96" s="652"/>
      <c r="AJ96" s="652"/>
      <c r="AK96" s="652"/>
      <c r="AL96" s="652"/>
      <c r="AM96" s="652"/>
    </row>
    <row r="97" spans="1:39"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652"/>
      <c r="AF97" s="652"/>
      <c r="AG97" s="652"/>
      <c r="AH97" s="652"/>
      <c r="AI97" s="652"/>
      <c r="AJ97" s="652"/>
      <c r="AK97" s="652"/>
      <c r="AL97" s="652"/>
      <c r="AM97" s="652"/>
    </row>
    <row r="98" spans="1:39"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652"/>
      <c r="AI98" s="652"/>
      <c r="AJ98" s="652"/>
      <c r="AK98" s="652"/>
      <c r="AL98" s="652"/>
      <c r="AM98" s="652"/>
    </row>
    <row r="99" spans="1:39"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652"/>
      <c r="AI99" s="652"/>
      <c r="AJ99" s="652"/>
      <c r="AK99" s="652"/>
      <c r="AL99" s="652"/>
      <c r="AM99" s="652"/>
    </row>
    <row r="100" spans="1:39"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652"/>
      <c r="AI100" s="652"/>
      <c r="AJ100" s="652"/>
      <c r="AK100" s="652"/>
      <c r="AL100" s="652"/>
      <c r="AM100" s="652"/>
    </row>
    <row r="101" spans="1:39"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652"/>
      <c r="AI101" s="652"/>
      <c r="AJ101" s="652"/>
      <c r="AK101" s="652"/>
      <c r="AL101" s="652"/>
      <c r="AM101" s="652"/>
    </row>
    <row r="102" spans="1:39"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652"/>
      <c r="AI102" s="652"/>
      <c r="AJ102" s="652"/>
      <c r="AK102" s="652"/>
      <c r="AL102" s="652"/>
      <c r="AM102" s="652"/>
    </row>
    <row r="103" spans="1:39"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652"/>
      <c r="AI103" s="652"/>
      <c r="AJ103" s="652"/>
      <c r="AK103" s="652"/>
      <c r="AL103" s="652"/>
      <c r="AM103" s="652"/>
    </row>
    <row r="104" spans="1:39"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652"/>
      <c r="AI104" s="652"/>
      <c r="AJ104" s="652"/>
      <c r="AK104" s="652"/>
      <c r="AL104" s="652"/>
      <c r="AM104" s="652"/>
    </row>
    <row r="105" spans="1:39"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652"/>
      <c r="AI105" s="652"/>
      <c r="AJ105" s="652"/>
      <c r="AK105" s="652"/>
      <c r="AL105" s="652"/>
      <c r="AM105" s="652"/>
    </row>
    <row r="106" spans="1:39"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652"/>
      <c r="AI106" s="652"/>
      <c r="AJ106" s="652"/>
      <c r="AK106" s="652"/>
      <c r="AL106" s="652"/>
      <c r="AM106" s="652"/>
    </row>
    <row r="107" spans="1:39"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652"/>
      <c r="AI107" s="652"/>
      <c r="AJ107" s="652"/>
      <c r="AK107" s="652"/>
      <c r="AL107" s="652"/>
      <c r="AM107" s="652"/>
    </row>
    <row r="108" spans="1:39"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652"/>
      <c r="AI108" s="652"/>
      <c r="AJ108" s="652"/>
      <c r="AK108" s="652"/>
      <c r="AL108" s="652"/>
      <c r="AM108" s="652"/>
    </row>
    <row r="109" spans="1:39"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652"/>
      <c r="AI109" s="652"/>
      <c r="AJ109" s="652"/>
      <c r="AK109" s="652"/>
      <c r="AL109" s="652"/>
      <c r="AM109" s="652"/>
    </row>
    <row r="110" spans="1:39"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652"/>
      <c r="AI110" s="652"/>
      <c r="AJ110" s="652"/>
      <c r="AK110" s="652"/>
      <c r="AL110" s="652"/>
      <c r="AM110" s="652"/>
    </row>
    <row r="111" spans="1:39"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652"/>
      <c r="AI111" s="652"/>
      <c r="AJ111" s="652"/>
      <c r="AK111" s="652"/>
      <c r="AL111" s="652"/>
      <c r="AM111" s="652"/>
    </row>
    <row r="112" spans="1:39"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652"/>
      <c r="AI112" s="652"/>
      <c r="AJ112" s="652"/>
      <c r="AK112" s="652"/>
      <c r="AL112" s="652"/>
      <c r="AM112" s="652"/>
    </row>
    <row r="113" spans="1:39"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652"/>
      <c r="AI113" s="652"/>
      <c r="AJ113" s="652"/>
      <c r="AK113" s="652"/>
      <c r="AL113" s="652"/>
      <c r="AM113" s="652"/>
    </row>
    <row r="114" spans="1:39"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652"/>
      <c r="AI114" s="652"/>
      <c r="AJ114" s="652"/>
      <c r="AK114" s="652"/>
      <c r="AL114" s="652"/>
      <c r="AM114" s="652"/>
    </row>
    <row r="115" spans="1:39"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652"/>
      <c r="AI115" s="652"/>
      <c r="AJ115" s="652"/>
      <c r="AK115" s="652"/>
      <c r="AL115" s="652"/>
      <c r="AM115" s="652"/>
    </row>
    <row r="116" spans="1:39"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652"/>
      <c r="AF116" s="652"/>
      <c r="AG116" s="652"/>
      <c r="AH116" s="652"/>
      <c r="AI116" s="652"/>
      <c r="AJ116" s="652"/>
      <c r="AK116" s="652"/>
      <c r="AL116" s="652"/>
      <c r="AM116" s="652"/>
    </row>
    <row r="117" spans="1:39"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652"/>
      <c r="AF117" s="652"/>
      <c r="AG117" s="652"/>
      <c r="AH117" s="652"/>
      <c r="AI117" s="652"/>
      <c r="AJ117" s="652"/>
      <c r="AK117" s="652"/>
      <c r="AL117" s="652"/>
      <c r="AM117" s="652"/>
    </row>
    <row r="118" spans="1:39"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652"/>
      <c r="AF118" s="652"/>
      <c r="AG118" s="652"/>
      <c r="AH118" s="652"/>
      <c r="AI118" s="652"/>
      <c r="AJ118" s="652"/>
      <c r="AK118" s="652"/>
      <c r="AL118" s="652"/>
      <c r="AM118" s="652"/>
    </row>
    <row r="119" spans="1:39"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652"/>
      <c r="AF119" s="652"/>
      <c r="AG119" s="652"/>
      <c r="AH119" s="652"/>
      <c r="AI119" s="652"/>
      <c r="AJ119" s="652"/>
      <c r="AK119" s="652"/>
      <c r="AL119" s="652"/>
      <c r="AM119" s="652"/>
    </row>
    <row r="120" spans="1:39"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652"/>
      <c r="AF120" s="652"/>
      <c r="AG120" s="652"/>
      <c r="AH120" s="652"/>
      <c r="AI120" s="652"/>
      <c r="AJ120" s="652"/>
      <c r="AK120" s="652"/>
      <c r="AL120" s="652"/>
      <c r="AM120" s="652"/>
    </row>
    <row r="121" spans="1:39"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652"/>
      <c r="AF121" s="652"/>
      <c r="AG121" s="652"/>
      <c r="AH121" s="652"/>
      <c r="AI121" s="652"/>
      <c r="AJ121" s="652"/>
      <c r="AK121" s="652"/>
      <c r="AL121" s="652"/>
      <c r="AM121" s="652"/>
    </row>
    <row r="122" spans="1:39"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652"/>
      <c r="AF122" s="652"/>
      <c r="AG122" s="652"/>
      <c r="AH122" s="652"/>
      <c r="AI122" s="652"/>
      <c r="AJ122" s="652"/>
      <c r="AK122" s="652"/>
      <c r="AL122" s="652"/>
      <c r="AM122" s="652"/>
    </row>
    <row r="123" spans="1:39"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652"/>
      <c r="AF123" s="652"/>
      <c r="AG123" s="652"/>
      <c r="AH123" s="652"/>
      <c r="AI123" s="652"/>
      <c r="AJ123" s="652"/>
      <c r="AK123" s="652"/>
      <c r="AL123" s="652"/>
      <c r="AM123" s="652"/>
    </row>
    <row r="124" spans="1:39"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652"/>
      <c r="AF124" s="652"/>
      <c r="AG124" s="652"/>
      <c r="AH124" s="652"/>
      <c r="AI124" s="652"/>
      <c r="AJ124" s="652"/>
      <c r="AK124" s="652"/>
      <c r="AL124" s="652"/>
      <c r="AM124" s="652"/>
    </row>
    <row r="125" spans="1:39"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652"/>
      <c r="AF125" s="652"/>
      <c r="AG125" s="652"/>
      <c r="AH125" s="652"/>
      <c r="AI125" s="652"/>
      <c r="AJ125" s="652"/>
      <c r="AK125" s="652"/>
      <c r="AL125" s="652"/>
      <c r="AM125" s="652"/>
    </row>
    <row r="126" spans="1:39"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652"/>
      <c r="AF126" s="652"/>
      <c r="AG126" s="652"/>
      <c r="AH126" s="652"/>
      <c r="AI126" s="652"/>
      <c r="AJ126" s="652"/>
      <c r="AK126" s="652"/>
      <c r="AL126" s="652"/>
      <c r="AM126" s="652"/>
    </row>
    <row r="127" spans="1:39"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652"/>
      <c r="AF127" s="652"/>
      <c r="AG127" s="652"/>
      <c r="AH127" s="652"/>
      <c r="AI127" s="652"/>
      <c r="AJ127" s="652"/>
      <c r="AK127" s="652"/>
      <c r="AL127" s="652"/>
      <c r="AM127" s="652"/>
    </row>
    <row r="128" spans="1:39"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652"/>
      <c r="AF128" s="652"/>
      <c r="AG128" s="652"/>
      <c r="AH128" s="652"/>
      <c r="AI128" s="652"/>
      <c r="AJ128" s="652"/>
      <c r="AK128" s="652"/>
      <c r="AL128" s="652"/>
      <c r="AM128" s="652"/>
    </row>
    <row r="129" spans="1:39"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652"/>
      <c r="AF129" s="652"/>
      <c r="AG129" s="652"/>
      <c r="AH129" s="652"/>
      <c r="AI129" s="652"/>
      <c r="AJ129" s="652"/>
      <c r="AK129" s="652"/>
      <c r="AL129" s="652"/>
      <c r="AM129" s="652"/>
    </row>
    <row r="130" spans="1:39"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652"/>
      <c r="AF130" s="652"/>
      <c r="AG130" s="652"/>
      <c r="AH130" s="652"/>
      <c r="AI130" s="652"/>
      <c r="AJ130" s="652"/>
      <c r="AK130" s="652"/>
      <c r="AL130" s="652"/>
      <c r="AM130" s="652"/>
    </row>
    <row r="131" spans="1:39"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652"/>
      <c r="AF131" s="652"/>
      <c r="AG131" s="652"/>
      <c r="AH131" s="652"/>
      <c r="AI131" s="652"/>
      <c r="AJ131" s="652"/>
      <c r="AK131" s="652"/>
      <c r="AL131" s="652"/>
      <c r="AM131" s="652"/>
    </row>
    <row r="132" spans="1:39"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652"/>
      <c r="AF132" s="652"/>
      <c r="AG132" s="652"/>
      <c r="AH132" s="652"/>
      <c r="AI132" s="652"/>
      <c r="AJ132" s="652"/>
      <c r="AK132" s="652"/>
      <c r="AL132" s="652"/>
      <c r="AM132" s="652"/>
    </row>
    <row r="133" spans="1:39"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652"/>
      <c r="AF133" s="652"/>
      <c r="AG133" s="652"/>
      <c r="AH133" s="652"/>
      <c r="AI133" s="652"/>
      <c r="AJ133" s="652"/>
      <c r="AK133" s="652"/>
      <c r="AL133" s="652"/>
      <c r="AM133" s="652"/>
    </row>
    <row r="134" spans="1:39" hidden="1" x14ac:dyDescent="0.2">
      <c r="A134" s="652"/>
      <c r="B134" s="652"/>
      <c r="C134" s="652"/>
      <c r="D134" s="652"/>
      <c r="E134" s="652"/>
      <c r="F134" s="652"/>
      <c r="G134" s="652"/>
      <c r="H134" s="652"/>
      <c r="I134" s="652"/>
      <c r="J134" s="652"/>
      <c r="K134" s="652"/>
      <c r="L134" s="657"/>
      <c r="M134" s="657"/>
      <c r="N134" s="657"/>
      <c r="O134" s="652"/>
      <c r="P134" s="652"/>
      <c r="Q134" s="652"/>
      <c r="R134" s="652"/>
      <c r="S134" s="652"/>
      <c r="T134" s="657"/>
      <c r="U134" s="657"/>
      <c r="V134" s="657"/>
      <c r="W134" s="652"/>
      <c r="X134" s="652"/>
      <c r="Y134" s="652"/>
      <c r="Z134" s="652"/>
      <c r="AA134" s="652"/>
      <c r="AB134" s="652"/>
      <c r="AC134" s="652"/>
      <c r="AD134" s="652"/>
      <c r="AE134" s="652"/>
      <c r="AF134" s="652"/>
      <c r="AG134" s="652"/>
      <c r="AH134" s="652"/>
      <c r="AI134" s="652"/>
      <c r="AJ134" s="652"/>
      <c r="AK134" s="652"/>
      <c r="AL134" s="652"/>
      <c r="AM134" s="652"/>
    </row>
    <row r="135" spans="1:39" hidden="1" x14ac:dyDescent="0.2">
      <c r="A135" s="652"/>
      <c r="B135" s="652"/>
      <c r="C135" s="652"/>
      <c r="D135" s="652"/>
      <c r="E135" s="652"/>
      <c r="F135" s="652"/>
      <c r="G135" s="652"/>
      <c r="H135" s="652"/>
      <c r="I135" s="652"/>
      <c r="J135" s="652"/>
      <c r="K135" s="652"/>
      <c r="L135" s="657"/>
      <c r="M135" s="657"/>
      <c r="N135" s="657"/>
      <c r="O135" s="652"/>
      <c r="P135" s="652"/>
      <c r="Q135" s="652"/>
      <c r="R135" s="652"/>
      <c r="S135" s="652"/>
      <c r="T135" s="657"/>
      <c r="U135" s="657"/>
      <c r="V135" s="657"/>
      <c r="W135" s="652"/>
      <c r="X135" s="652"/>
      <c r="Y135" s="652"/>
      <c r="Z135" s="652"/>
      <c r="AA135" s="652"/>
      <c r="AB135" s="652"/>
      <c r="AC135" s="652"/>
      <c r="AD135" s="652"/>
      <c r="AE135" s="652"/>
      <c r="AF135" s="652"/>
      <c r="AG135" s="652"/>
      <c r="AH135" s="652"/>
      <c r="AI135" s="652"/>
      <c r="AJ135" s="652"/>
      <c r="AK135" s="652"/>
      <c r="AL135" s="652"/>
      <c r="AM135" s="652"/>
    </row>
    <row r="136" spans="1:39" hidden="1" x14ac:dyDescent="0.2">
      <c r="A136" s="652"/>
      <c r="B136" s="652"/>
      <c r="C136" s="652"/>
      <c r="D136" s="652"/>
      <c r="E136" s="652"/>
      <c r="F136" s="652"/>
      <c r="G136" s="652"/>
      <c r="H136" s="652"/>
      <c r="I136" s="652"/>
      <c r="J136" s="652"/>
      <c r="K136" s="652"/>
      <c r="L136" s="657"/>
      <c r="M136" s="657"/>
      <c r="N136" s="657"/>
      <c r="O136" s="652"/>
      <c r="P136" s="652"/>
      <c r="Q136" s="652"/>
      <c r="R136" s="652"/>
      <c r="S136" s="652"/>
      <c r="T136" s="657"/>
      <c r="U136" s="657"/>
      <c r="V136" s="657"/>
      <c r="W136" s="652"/>
      <c r="X136" s="652"/>
      <c r="Y136" s="652"/>
      <c r="Z136" s="652"/>
      <c r="AA136" s="652"/>
      <c r="AB136" s="652"/>
      <c r="AC136" s="652"/>
      <c r="AD136" s="652"/>
      <c r="AE136" s="652"/>
      <c r="AF136" s="652"/>
      <c r="AG136" s="652"/>
      <c r="AH136" s="652"/>
      <c r="AI136" s="652"/>
      <c r="AJ136" s="652"/>
      <c r="AK136" s="652"/>
      <c r="AL136" s="652"/>
      <c r="AM136" s="652"/>
    </row>
    <row r="137" spans="1:39" hidden="1" x14ac:dyDescent="0.2">
      <c r="A137" s="652"/>
      <c r="B137" s="652"/>
      <c r="C137" s="652"/>
      <c r="D137" s="652"/>
      <c r="E137" s="652"/>
      <c r="F137" s="652"/>
      <c r="G137" s="652"/>
      <c r="H137" s="652"/>
      <c r="I137" s="652"/>
      <c r="J137" s="652"/>
      <c r="K137" s="652"/>
      <c r="L137" s="657"/>
      <c r="M137" s="657"/>
      <c r="N137" s="657"/>
      <c r="O137" s="652"/>
      <c r="P137" s="652"/>
      <c r="Q137" s="652"/>
      <c r="R137" s="652"/>
      <c r="S137" s="652"/>
      <c r="T137" s="657"/>
      <c r="U137" s="657"/>
      <c r="V137" s="657"/>
      <c r="W137" s="652"/>
      <c r="X137" s="652"/>
      <c r="Y137" s="652"/>
      <c r="Z137" s="652"/>
      <c r="AA137" s="652"/>
      <c r="AB137" s="652"/>
      <c r="AC137" s="652"/>
      <c r="AD137" s="652"/>
      <c r="AE137" s="652"/>
      <c r="AF137" s="652"/>
      <c r="AG137" s="652"/>
      <c r="AH137" s="652"/>
      <c r="AI137" s="652"/>
      <c r="AJ137" s="652"/>
      <c r="AK137" s="652"/>
      <c r="AL137" s="652"/>
      <c r="AM137" s="652"/>
    </row>
    <row r="138" spans="1:39" hidden="1" x14ac:dyDescent="0.2">
      <c r="A138" s="652"/>
      <c r="B138" s="652"/>
      <c r="C138" s="652"/>
      <c r="D138" s="652"/>
      <c r="E138" s="652"/>
      <c r="F138" s="652"/>
      <c r="G138" s="652"/>
      <c r="H138" s="652"/>
      <c r="I138" s="652"/>
      <c r="J138" s="652"/>
      <c r="K138" s="652"/>
      <c r="L138" s="657"/>
      <c r="M138" s="657"/>
      <c r="N138" s="657"/>
      <c r="O138" s="652"/>
      <c r="P138" s="652"/>
      <c r="Q138" s="652"/>
      <c r="R138" s="652"/>
      <c r="S138" s="652"/>
      <c r="T138" s="657"/>
      <c r="U138" s="657"/>
      <c r="V138" s="657"/>
      <c r="W138" s="652"/>
      <c r="X138" s="652"/>
      <c r="Y138" s="652"/>
      <c r="Z138" s="652"/>
      <c r="AA138" s="652"/>
      <c r="AB138" s="652"/>
      <c r="AC138" s="652"/>
      <c r="AD138" s="652"/>
      <c r="AE138" s="652"/>
      <c r="AF138" s="652"/>
      <c r="AG138" s="652"/>
      <c r="AH138" s="652"/>
      <c r="AI138" s="652"/>
      <c r="AJ138" s="652"/>
      <c r="AK138" s="652"/>
      <c r="AL138" s="652"/>
      <c r="AM138" s="652"/>
    </row>
    <row r="139" spans="1:39" hidden="1" x14ac:dyDescent="0.2">
      <c r="A139" s="652"/>
      <c r="B139" s="652"/>
      <c r="C139" s="652"/>
      <c r="D139" s="652"/>
      <c r="E139" s="652"/>
      <c r="F139" s="652"/>
      <c r="G139" s="652"/>
      <c r="H139" s="652"/>
      <c r="I139" s="652"/>
      <c r="J139" s="652"/>
      <c r="K139" s="652"/>
      <c r="L139" s="657"/>
      <c r="M139" s="657"/>
      <c r="N139" s="657"/>
      <c r="O139" s="652"/>
      <c r="P139" s="652"/>
      <c r="Q139" s="652"/>
      <c r="R139" s="652"/>
      <c r="S139" s="652"/>
      <c r="T139" s="657"/>
      <c r="U139" s="657"/>
      <c r="V139" s="657"/>
      <c r="W139" s="652"/>
      <c r="X139" s="652"/>
      <c r="Y139" s="652"/>
      <c r="Z139" s="652"/>
      <c r="AA139" s="652"/>
      <c r="AB139" s="652"/>
      <c r="AC139" s="652"/>
      <c r="AD139" s="652"/>
      <c r="AE139" s="652"/>
      <c r="AF139" s="652"/>
      <c r="AG139" s="652"/>
      <c r="AH139" s="652"/>
      <c r="AI139" s="652"/>
      <c r="AJ139" s="652"/>
      <c r="AK139" s="652"/>
      <c r="AL139" s="652"/>
      <c r="AM139" s="652"/>
    </row>
    <row r="140" spans="1:39" hidden="1" x14ac:dyDescent="0.2">
      <c r="A140" s="652"/>
      <c r="B140" s="652"/>
      <c r="C140" s="652"/>
      <c r="D140" s="652"/>
      <c r="E140" s="652"/>
      <c r="F140" s="652"/>
      <c r="G140" s="652"/>
      <c r="H140" s="652"/>
      <c r="I140" s="652"/>
      <c r="J140" s="652"/>
      <c r="K140" s="652"/>
      <c r="L140" s="657"/>
      <c r="M140" s="657"/>
      <c r="N140" s="657"/>
      <c r="O140" s="652"/>
      <c r="P140" s="652"/>
      <c r="Q140" s="652"/>
      <c r="R140" s="652"/>
      <c r="S140" s="652"/>
      <c r="T140" s="657"/>
      <c r="U140" s="657"/>
      <c r="V140" s="657"/>
      <c r="W140" s="652"/>
      <c r="X140" s="652"/>
      <c r="Y140" s="652"/>
      <c r="Z140" s="652"/>
      <c r="AA140" s="652"/>
      <c r="AB140" s="652"/>
      <c r="AC140" s="652"/>
      <c r="AD140" s="652"/>
      <c r="AE140" s="652"/>
      <c r="AF140" s="652"/>
      <c r="AG140" s="652"/>
      <c r="AH140" s="652"/>
      <c r="AI140" s="652"/>
      <c r="AJ140" s="652"/>
      <c r="AK140" s="652"/>
      <c r="AL140" s="652"/>
      <c r="AM140" s="652"/>
    </row>
    <row r="141" spans="1:39" hidden="1" x14ac:dyDescent="0.2">
      <c r="A141" s="652"/>
      <c r="B141" s="652"/>
      <c r="C141" s="652"/>
      <c r="D141" s="652"/>
      <c r="E141" s="652"/>
      <c r="F141" s="652"/>
      <c r="G141" s="652"/>
      <c r="H141" s="652"/>
      <c r="I141" s="652"/>
      <c r="J141" s="652"/>
      <c r="K141" s="652"/>
      <c r="L141" s="657"/>
      <c r="M141" s="657"/>
      <c r="N141" s="657"/>
      <c r="O141" s="652"/>
      <c r="P141" s="652"/>
      <c r="Q141" s="652"/>
      <c r="R141" s="652"/>
      <c r="S141" s="652"/>
      <c r="T141" s="657"/>
      <c r="U141" s="657"/>
      <c r="V141" s="657"/>
      <c r="W141" s="652"/>
      <c r="X141" s="652"/>
      <c r="Y141" s="652"/>
      <c r="Z141" s="652"/>
      <c r="AA141" s="652"/>
      <c r="AB141" s="652"/>
      <c r="AC141" s="652"/>
      <c r="AD141" s="652"/>
      <c r="AE141" s="652"/>
      <c r="AF141" s="652"/>
      <c r="AG141" s="652"/>
      <c r="AH141" s="652"/>
      <c r="AI141" s="652"/>
      <c r="AJ141" s="652"/>
      <c r="AK141" s="652"/>
      <c r="AL141" s="652"/>
      <c r="AM141" s="652"/>
    </row>
    <row r="142" spans="1:39" hidden="1" x14ac:dyDescent="0.2">
      <c r="A142" s="652"/>
      <c r="B142" s="652"/>
      <c r="C142" s="652"/>
      <c r="D142" s="652"/>
      <c r="E142" s="652"/>
      <c r="F142" s="652"/>
      <c r="G142" s="652"/>
      <c r="H142" s="652"/>
      <c r="I142" s="652"/>
      <c r="J142" s="652"/>
      <c r="K142" s="652"/>
      <c r="L142" s="657"/>
      <c r="M142" s="657"/>
      <c r="N142" s="657"/>
      <c r="O142" s="652"/>
      <c r="P142" s="652"/>
      <c r="Q142" s="652"/>
      <c r="R142" s="652"/>
      <c r="S142" s="652"/>
      <c r="T142" s="657"/>
      <c r="U142" s="657"/>
      <c r="V142" s="657"/>
      <c r="W142" s="652"/>
      <c r="X142" s="652"/>
      <c r="Y142" s="652"/>
      <c r="Z142" s="652"/>
      <c r="AA142" s="652"/>
      <c r="AB142" s="652"/>
      <c r="AC142" s="652"/>
      <c r="AD142" s="652"/>
      <c r="AE142" s="652"/>
      <c r="AF142" s="652"/>
      <c r="AG142" s="652"/>
      <c r="AH142" s="652"/>
      <c r="AI142" s="652"/>
      <c r="AJ142" s="652"/>
      <c r="AK142" s="652"/>
      <c r="AL142" s="652"/>
      <c r="AM142" s="652"/>
    </row>
    <row r="143" spans="1:39" hidden="1" x14ac:dyDescent="0.2">
      <c r="A143" s="652"/>
      <c r="B143" s="652"/>
      <c r="C143" s="652"/>
      <c r="D143" s="652"/>
      <c r="E143" s="652"/>
      <c r="F143" s="652"/>
      <c r="G143" s="652"/>
      <c r="H143" s="652"/>
      <c r="I143" s="652"/>
      <c r="J143" s="652"/>
      <c r="K143" s="652"/>
      <c r="L143" s="657"/>
      <c r="M143" s="657"/>
      <c r="N143" s="657"/>
      <c r="O143" s="652"/>
      <c r="P143" s="652"/>
      <c r="Q143" s="652"/>
      <c r="R143" s="652"/>
      <c r="S143" s="652"/>
      <c r="T143" s="657"/>
      <c r="U143" s="657"/>
      <c r="V143" s="657"/>
      <c r="W143" s="652"/>
      <c r="X143" s="652"/>
      <c r="Y143" s="652"/>
      <c r="Z143" s="652"/>
      <c r="AA143" s="652"/>
      <c r="AB143" s="652"/>
      <c r="AC143" s="652"/>
      <c r="AD143" s="652"/>
      <c r="AE143" s="652"/>
      <c r="AF143" s="652"/>
      <c r="AG143" s="652"/>
      <c r="AH143" s="652"/>
      <c r="AI143" s="652"/>
      <c r="AJ143" s="652"/>
      <c r="AK143" s="652"/>
      <c r="AL143" s="652"/>
      <c r="AM143" s="652"/>
    </row>
    <row r="144" spans="1:39" hidden="1" x14ac:dyDescent="0.2">
      <c r="A144" s="652"/>
      <c r="B144" s="652"/>
      <c r="C144" s="652"/>
      <c r="D144" s="652"/>
      <c r="E144" s="652"/>
      <c r="F144" s="652"/>
      <c r="G144" s="652"/>
      <c r="H144" s="652"/>
      <c r="I144" s="652"/>
      <c r="J144" s="652"/>
      <c r="K144" s="652"/>
      <c r="L144" s="657"/>
      <c r="M144" s="657"/>
      <c r="N144" s="657"/>
      <c r="O144" s="652"/>
      <c r="P144" s="652"/>
      <c r="Q144" s="652"/>
      <c r="R144" s="652"/>
      <c r="S144" s="652"/>
      <c r="T144" s="657"/>
      <c r="U144" s="657"/>
      <c r="V144" s="657"/>
      <c r="W144" s="652"/>
      <c r="X144" s="652"/>
      <c r="Y144" s="652"/>
      <c r="Z144" s="652"/>
      <c r="AA144" s="652"/>
      <c r="AB144" s="652"/>
      <c r="AC144" s="652"/>
      <c r="AD144" s="652"/>
      <c r="AE144" s="652"/>
      <c r="AF144" s="652"/>
      <c r="AG144" s="652"/>
      <c r="AH144" s="652"/>
      <c r="AI144" s="652"/>
      <c r="AJ144" s="652"/>
      <c r="AK144" s="652"/>
      <c r="AL144" s="652"/>
      <c r="AM144" s="652"/>
    </row>
    <row r="145" spans="1:39"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652"/>
      <c r="AF145" s="652"/>
      <c r="AG145" s="652"/>
      <c r="AH145" s="652"/>
      <c r="AI145" s="652"/>
      <c r="AJ145" s="652"/>
      <c r="AK145" s="652"/>
      <c r="AL145" s="652"/>
      <c r="AM145" s="652"/>
    </row>
    <row r="146" spans="1:39"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652"/>
      <c r="AF146" s="652"/>
      <c r="AG146" s="652"/>
      <c r="AH146" s="652"/>
      <c r="AI146" s="652"/>
      <c r="AJ146" s="652"/>
      <c r="AK146" s="652"/>
      <c r="AL146" s="652"/>
      <c r="AM146" s="652"/>
    </row>
    <row r="147" spans="1:39"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652"/>
      <c r="AF147" s="652"/>
      <c r="AG147" s="652"/>
      <c r="AH147" s="652"/>
      <c r="AI147" s="652"/>
      <c r="AJ147" s="652"/>
      <c r="AK147" s="652"/>
      <c r="AL147" s="652"/>
      <c r="AM147" s="652"/>
    </row>
    <row r="148" spans="1:39"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652"/>
      <c r="AF148" s="652"/>
      <c r="AG148" s="652"/>
      <c r="AH148" s="652"/>
      <c r="AI148" s="652"/>
      <c r="AJ148" s="652"/>
      <c r="AK148" s="652"/>
      <c r="AL148" s="652"/>
      <c r="AM148" s="652"/>
    </row>
    <row r="149" spans="1:39"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652"/>
      <c r="AF149" s="652"/>
      <c r="AG149" s="652"/>
      <c r="AH149" s="652"/>
      <c r="AI149" s="652"/>
      <c r="AJ149" s="652"/>
      <c r="AK149" s="652"/>
      <c r="AL149" s="652"/>
      <c r="AM149" s="652"/>
    </row>
    <row r="150" spans="1:39" hidden="1" x14ac:dyDescent="0.2">
      <c r="A150" s="652"/>
      <c r="B150" s="652"/>
      <c r="C150" s="652"/>
      <c r="D150" s="652"/>
      <c r="E150" s="652"/>
      <c r="F150" s="652"/>
      <c r="G150" s="652"/>
      <c r="H150" s="652"/>
      <c r="I150" s="652"/>
      <c r="J150" s="652"/>
      <c r="K150" s="652"/>
      <c r="L150" s="652"/>
      <c r="M150" s="652"/>
      <c r="N150" s="652"/>
      <c r="O150" s="652"/>
      <c r="P150" s="652"/>
      <c r="Q150" s="652"/>
      <c r="R150" s="652"/>
      <c r="S150" s="652"/>
      <c r="T150" s="652"/>
      <c r="U150" s="652"/>
      <c r="V150" s="652"/>
      <c r="W150" s="652"/>
      <c r="X150" s="652"/>
      <c r="Y150" s="652"/>
      <c r="Z150" s="652"/>
      <c r="AA150" s="652"/>
      <c r="AB150" s="652"/>
      <c r="AC150" s="652"/>
      <c r="AD150" s="652"/>
      <c r="AE150" s="652"/>
      <c r="AF150" s="652"/>
      <c r="AG150" s="652"/>
      <c r="AH150" s="652"/>
      <c r="AI150" s="652"/>
      <c r="AJ150" s="652"/>
      <c r="AK150" s="652"/>
      <c r="AL150" s="652"/>
      <c r="AM150" s="652"/>
    </row>
    <row r="151" spans="1:39" hidden="1" x14ac:dyDescent="0.2">
      <c r="A151" s="652"/>
      <c r="B151" s="652"/>
      <c r="C151" s="652"/>
      <c r="D151" s="652"/>
      <c r="E151" s="652"/>
      <c r="F151" s="652"/>
      <c r="G151" s="652"/>
      <c r="H151" s="652"/>
      <c r="I151" s="652"/>
      <c r="J151" s="652"/>
      <c r="K151" s="652"/>
      <c r="L151" s="652"/>
      <c r="M151" s="652"/>
      <c r="N151" s="652"/>
      <c r="O151" s="652"/>
      <c r="P151" s="652"/>
      <c r="Q151" s="652"/>
      <c r="R151" s="652"/>
      <c r="S151" s="652"/>
      <c r="T151" s="652"/>
      <c r="U151" s="652"/>
      <c r="V151" s="652"/>
      <c r="W151" s="652"/>
      <c r="X151" s="652"/>
      <c r="Y151" s="652"/>
      <c r="Z151" s="652"/>
      <c r="AA151" s="652"/>
      <c r="AB151" s="652"/>
      <c r="AC151" s="652"/>
      <c r="AD151" s="652"/>
      <c r="AE151" s="652"/>
      <c r="AF151" s="652"/>
      <c r="AG151" s="652"/>
      <c r="AH151" s="652"/>
      <c r="AI151" s="652"/>
      <c r="AJ151" s="652"/>
      <c r="AK151" s="652"/>
      <c r="AL151" s="652"/>
      <c r="AM151" s="652"/>
    </row>
    <row r="152" spans="1:39" hidden="1" x14ac:dyDescent="0.2">
      <c r="A152" s="652"/>
      <c r="B152" s="652"/>
      <c r="C152" s="652"/>
      <c r="D152" s="652"/>
      <c r="E152" s="652"/>
      <c r="F152" s="652"/>
      <c r="G152" s="652"/>
      <c r="H152" s="652"/>
      <c r="I152" s="652"/>
      <c r="J152" s="652"/>
      <c r="K152" s="652"/>
      <c r="L152" s="652"/>
      <c r="M152" s="652"/>
      <c r="N152" s="652"/>
      <c r="O152" s="652"/>
      <c r="P152" s="652"/>
      <c r="Q152" s="652"/>
      <c r="R152" s="652"/>
      <c r="S152" s="652"/>
      <c r="T152" s="652"/>
      <c r="U152" s="652"/>
      <c r="V152" s="652"/>
      <c r="W152" s="652"/>
      <c r="X152" s="652"/>
      <c r="Y152" s="652"/>
      <c r="Z152" s="652"/>
      <c r="AA152" s="652"/>
      <c r="AB152" s="652"/>
      <c r="AC152" s="652"/>
      <c r="AD152" s="652"/>
      <c r="AE152" s="652"/>
      <c r="AF152" s="652"/>
      <c r="AG152" s="652"/>
      <c r="AH152" s="652"/>
      <c r="AI152" s="652"/>
      <c r="AJ152" s="652"/>
      <c r="AK152" s="652"/>
      <c r="AL152" s="652"/>
      <c r="AM152" s="652"/>
    </row>
    <row r="153" spans="1:39" hidden="1" x14ac:dyDescent="0.2">
      <c r="A153" s="652"/>
      <c r="B153" s="652"/>
      <c r="C153" s="652"/>
      <c r="D153" s="652"/>
      <c r="E153" s="652"/>
      <c r="F153" s="652"/>
      <c r="G153" s="652"/>
      <c r="H153" s="652"/>
      <c r="I153" s="652"/>
      <c r="J153" s="652"/>
      <c r="K153" s="652"/>
      <c r="L153" s="652"/>
      <c r="M153" s="652"/>
      <c r="N153" s="652"/>
      <c r="O153" s="652"/>
      <c r="P153" s="652"/>
      <c r="Q153" s="652"/>
      <c r="R153" s="652"/>
      <c r="S153" s="652"/>
      <c r="T153" s="652"/>
      <c r="U153" s="652"/>
      <c r="V153" s="652"/>
      <c r="W153" s="652"/>
      <c r="X153" s="652"/>
      <c r="Y153" s="652"/>
      <c r="Z153" s="652"/>
      <c r="AA153" s="652"/>
      <c r="AB153" s="652"/>
      <c r="AC153" s="652"/>
      <c r="AD153" s="652"/>
      <c r="AE153" s="652"/>
      <c r="AF153" s="652"/>
      <c r="AG153" s="652"/>
      <c r="AH153" s="652"/>
      <c r="AI153" s="652"/>
      <c r="AJ153" s="652"/>
      <c r="AK153" s="652"/>
      <c r="AL153" s="652"/>
      <c r="AM153" s="652"/>
    </row>
    <row r="154" spans="1:39" hidden="1" x14ac:dyDescent="0.2">
      <c r="A154" s="652"/>
      <c r="B154" s="652"/>
      <c r="C154" s="652"/>
      <c r="D154" s="652"/>
      <c r="E154" s="652"/>
      <c r="F154" s="652"/>
      <c r="G154" s="652"/>
      <c r="H154" s="652"/>
      <c r="I154" s="652"/>
      <c r="J154" s="652"/>
      <c r="K154" s="652"/>
      <c r="L154" s="652"/>
      <c r="M154" s="652"/>
      <c r="N154" s="652"/>
      <c r="O154" s="652"/>
      <c r="P154" s="652"/>
      <c r="Q154" s="652"/>
      <c r="R154" s="652"/>
      <c r="S154" s="652"/>
      <c r="T154" s="652"/>
      <c r="U154" s="652"/>
      <c r="V154" s="652"/>
      <c r="W154" s="652"/>
      <c r="X154" s="652"/>
      <c r="Y154" s="652"/>
      <c r="Z154" s="652"/>
      <c r="AA154" s="652"/>
      <c r="AB154" s="652"/>
      <c r="AC154" s="652"/>
      <c r="AD154" s="652"/>
      <c r="AE154" s="652"/>
      <c r="AF154" s="652"/>
      <c r="AG154" s="652"/>
      <c r="AH154" s="652"/>
      <c r="AI154" s="652"/>
      <c r="AJ154" s="652"/>
      <c r="AK154" s="652"/>
      <c r="AL154" s="652"/>
      <c r="AM154" s="652"/>
    </row>
    <row r="155" spans="1:39" hidden="1" x14ac:dyDescent="0.2">
      <c r="A155" s="652"/>
      <c r="B155" s="652"/>
      <c r="C155" s="652"/>
      <c r="D155" s="652"/>
      <c r="E155" s="652"/>
      <c r="F155" s="652"/>
      <c r="G155" s="652"/>
      <c r="H155" s="652"/>
      <c r="I155" s="652"/>
      <c r="J155" s="652"/>
      <c r="K155" s="652"/>
      <c r="L155" s="652"/>
      <c r="M155" s="652"/>
      <c r="N155" s="652"/>
      <c r="O155" s="652"/>
      <c r="P155" s="652"/>
      <c r="Q155" s="652"/>
      <c r="R155" s="652"/>
      <c r="S155" s="652"/>
      <c r="T155" s="652"/>
      <c r="U155" s="652"/>
      <c r="V155" s="652"/>
      <c r="W155" s="652"/>
      <c r="X155" s="652"/>
      <c r="Y155" s="652"/>
      <c r="Z155" s="652"/>
      <c r="AA155" s="652"/>
      <c r="AB155" s="652"/>
      <c r="AC155" s="652"/>
      <c r="AD155" s="652"/>
      <c r="AE155" s="652"/>
      <c r="AF155" s="652"/>
      <c r="AG155" s="652"/>
      <c r="AH155" s="652"/>
      <c r="AI155" s="652"/>
      <c r="AJ155" s="652"/>
      <c r="AK155" s="652"/>
      <c r="AL155" s="652"/>
      <c r="AM155" s="652"/>
    </row>
    <row r="156" spans="1:39" hidden="1" x14ac:dyDescent="0.2">
      <c r="A156" s="652"/>
      <c r="B156" s="652"/>
      <c r="C156" s="652"/>
      <c r="D156" s="652"/>
      <c r="E156" s="652"/>
      <c r="F156" s="652"/>
      <c r="G156" s="652"/>
      <c r="H156" s="652"/>
      <c r="I156" s="652"/>
      <c r="J156" s="652"/>
      <c r="K156" s="652"/>
      <c r="L156" s="652"/>
      <c r="M156" s="652"/>
      <c r="N156" s="652"/>
      <c r="O156" s="652"/>
      <c r="P156" s="652"/>
      <c r="Q156" s="652"/>
      <c r="R156" s="652"/>
      <c r="S156" s="652"/>
      <c r="T156" s="652"/>
      <c r="U156" s="652"/>
      <c r="V156" s="652"/>
      <c r="W156" s="652"/>
      <c r="X156" s="652"/>
      <c r="Y156" s="652"/>
      <c r="Z156" s="652"/>
      <c r="AA156" s="652"/>
      <c r="AB156" s="652"/>
      <c r="AC156" s="652"/>
      <c r="AD156" s="652"/>
      <c r="AE156" s="652"/>
      <c r="AF156" s="652"/>
      <c r="AG156" s="652"/>
      <c r="AH156" s="652"/>
      <c r="AI156" s="652"/>
      <c r="AJ156" s="652"/>
      <c r="AK156" s="652"/>
      <c r="AL156" s="652"/>
      <c r="AM156" s="652"/>
    </row>
    <row r="157" spans="1:39" hidden="1" x14ac:dyDescent="0.2">
      <c r="A157" s="652"/>
      <c r="B157" s="652"/>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652"/>
      <c r="AF157" s="652"/>
      <c r="AG157" s="652"/>
      <c r="AH157" s="652"/>
      <c r="AI157" s="652"/>
      <c r="AJ157" s="652"/>
      <c r="AK157" s="652"/>
      <c r="AL157" s="652"/>
      <c r="AM157" s="652"/>
    </row>
    <row r="158" spans="1:39" hidden="1" x14ac:dyDescent="0.2">
      <c r="A158" s="652"/>
      <c r="B158" s="652"/>
      <c r="C158" s="652"/>
      <c r="D158" s="652"/>
      <c r="E158" s="652"/>
      <c r="F158" s="652"/>
      <c r="G158" s="652"/>
      <c r="H158" s="652"/>
      <c r="I158" s="652"/>
      <c r="J158" s="652"/>
      <c r="K158" s="652"/>
      <c r="L158" s="652"/>
      <c r="M158" s="652"/>
      <c r="N158" s="652"/>
      <c r="O158" s="652"/>
      <c r="P158" s="652"/>
      <c r="Q158" s="652"/>
      <c r="R158" s="652"/>
      <c r="S158" s="652"/>
      <c r="T158" s="652"/>
      <c r="U158" s="652"/>
      <c r="V158" s="652"/>
      <c r="W158" s="652"/>
      <c r="X158" s="652"/>
      <c r="Y158" s="652"/>
      <c r="Z158" s="652"/>
      <c r="AA158" s="652"/>
      <c r="AB158" s="652"/>
      <c r="AC158" s="652"/>
      <c r="AD158" s="652"/>
      <c r="AE158" s="652"/>
      <c r="AF158" s="652"/>
      <c r="AG158" s="652"/>
      <c r="AH158" s="652"/>
      <c r="AI158" s="652"/>
      <c r="AJ158" s="652"/>
      <c r="AK158" s="652"/>
      <c r="AL158" s="652"/>
      <c r="AM158" s="652"/>
    </row>
    <row r="159" spans="1:39" hidden="1" x14ac:dyDescent="0.2">
      <c r="A159" s="652"/>
      <c r="B159" s="652"/>
      <c r="C159" s="652"/>
      <c r="D159" s="652"/>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652"/>
      <c r="AF159" s="652"/>
      <c r="AG159" s="652"/>
      <c r="AH159" s="652"/>
      <c r="AI159" s="652"/>
      <c r="AJ159" s="652"/>
      <c r="AK159" s="652"/>
      <c r="AL159" s="652"/>
      <c r="AM159" s="652"/>
    </row>
    <row r="160" spans="1:39" hidden="1" x14ac:dyDescent="0.2">
      <c r="A160" s="652"/>
      <c r="B160" s="652"/>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652"/>
      <c r="AF160" s="652"/>
      <c r="AG160" s="652"/>
      <c r="AH160" s="652"/>
      <c r="AI160" s="652"/>
      <c r="AJ160" s="652"/>
      <c r="AK160" s="652"/>
      <c r="AL160" s="652"/>
      <c r="AM160" s="652"/>
    </row>
    <row r="161" spans="1:39"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652"/>
      <c r="AF161" s="652"/>
      <c r="AG161" s="652"/>
      <c r="AH161" s="652"/>
      <c r="AI161" s="652"/>
      <c r="AJ161" s="652"/>
      <c r="AK161" s="652"/>
      <c r="AL161" s="652"/>
      <c r="AM161" s="652"/>
    </row>
    <row r="162" spans="1:39" hidden="1" x14ac:dyDescent="0.2">
      <c r="A162" s="652"/>
      <c r="B162" s="652"/>
      <c r="C162" s="652"/>
      <c r="D162" s="652"/>
      <c r="E162" s="652"/>
      <c r="F162" s="652"/>
      <c r="G162" s="652"/>
      <c r="H162" s="652"/>
      <c r="I162" s="652"/>
      <c r="J162" s="652"/>
      <c r="K162" s="652"/>
      <c r="L162" s="652"/>
      <c r="M162" s="652"/>
      <c r="N162" s="652"/>
      <c r="O162" s="652"/>
      <c r="P162" s="652"/>
      <c r="Q162" s="652"/>
      <c r="R162" s="652"/>
      <c r="S162" s="652"/>
      <c r="T162" s="652"/>
      <c r="U162" s="652"/>
      <c r="V162" s="652"/>
      <c r="W162" s="652"/>
      <c r="X162" s="652"/>
      <c r="Y162" s="652"/>
      <c r="Z162" s="652"/>
      <c r="AA162" s="652"/>
      <c r="AB162" s="652"/>
      <c r="AC162" s="652"/>
      <c r="AD162" s="652"/>
      <c r="AE162" s="652"/>
      <c r="AF162" s="652"/>
      <c r="AG162" s="652"/>
      <c r="AH162" s="652"/>
      <c r="AI162" s="652"/>
      <c r="AJ162" s="652"/>
      <c r="AK162" s="652"/>
      <c r="AL162" s="652"/>
      <c r="AM162" s="652"/>
    </row>
    <row r="163" spans="1:39" hidden="1" x14ac:dyDescent="0.2">
      <c r="A163" s="652"/>
      <c r="B163" s="652"/>
      <c r="C163" s="652"/>
      <c r="D163" s="652"/>
      <c r="E163" s="652"/>
      <c r="F163" s="652"/>
      <c r="G163" s="652"/>
      <c r="H163" s="652"/>
      <c r="I163" s="652"/>
      <c r="J163" s="652"/>
      <c r="K163" s="652"/>
      <c r="L163" s="657"/>
      <c r="M163" s="657"/>
      <c r="N163" s="657"/>
      <c r="O163" s="652"/>
      <c r="P163" s="652"/>
      <c r="Q163" s="652"/>
      <c r="R163" s="652"/>
      <c r="S163" s="652"/>
      <c r="T163" s="657"/>
      <c r="U163" s="657"/>
      <c r="V163" s="657"/>
      <c r="W163" s="652"/>
      <c r="X163" s="652"/>
      <c r="Y163" s="652"/>
      <c r="Z163" s="652"/>
      <c r="AA163" s="652"/>
      <c r="AB163" s="652"/>
      <c r="AC163" s="652"/>
      <c r="AD163" s="652"/>
      <c r="AE163" s="652"/>
      <c r="AF163" s="652"/>
      <c r="AG163" s="652"/>
      <c r="AH163" s="652"/>
      <c r="AI163" s="652"/>
      <c r="AJ163" s="652"/>
      <c r="AK163" s="652"/>
      <c r="AL163" s="652"/>
      <c r="AM163" s="652"/>
    </row>
    <row r="164" spans="1:39" hidden="1" x14ac:dyDescent="0.2">
      <c r="A164" s="652"/>
      <c r="B164" s="652"/>
      <c r="C164" s="652"/>
      <c r="D164" s="652"/>
      <c r="E164" s="652"/>
      <c r="F164" s="652"/>
      <c r="G164" s="652"/>
      <c r="H164" s="652"/>
      <c r="I164" s="652"/>
      <c r="J164" s="652"/>
      <c r="K164" s="652"/>
      <c r="L164" s="657"/>
      <c r="M164" s="657"/>
      <c r="N164" s="657"/>
      <c r="O164" s="652"/>
      <c r="P164" s="652"/>
      <c r="Q164" s="652"/>
      <c r="R164" s="652"/>
      <c r="S164" s="652"/>
      <c r="T164" s="657"/>
      <c r="U164" s="657"/>
      <c r="V164" s="657"/>
      <c r="W164" s="652"/>
      <c r="X164" s="652"/>
      <c r="Y164" s="652"/>
      <c r="Z164" s="652"/>
      <c r="AA164" s="652"/>
      <c r="AB164" s="652"/>
      <c r="AC164" s="652"/>
      <c r="AD164" s="652"/>
      <c r="AE164" s="652"/>
      <c r="AF164" s="652"/>
      <c r="AG164" s="652"/>
      <c r="AH164" s="652"/>
      <c r="AI164" s="652"/>
      <c r="AJ164" s="652"/>
      <c r="AK164" s="652"/>
      <c r="AL164" s="652"/>
      <c r="AM164" s="652"/>
    </row>
    <row r="165" spans="1:39" hidden="1" x14ac:dyDescent="0.2">
      <c r="A165" s="652"/>
      <c r="B165" s="652"/>
      <c r="C165" s="652"/>
      <c r="D165" s="652"/>
      <c r="E165" s="652"/>
      <c r="F165" s="652"/>
      <c r="G165" s="652"/>
      <c r="H165" s="652"/>
      <c r="I165" s="652"/>
      <c r="J165" s="652"/>
      <c r="K165" s="652"/>
      <c r="L165" s="657"/>
      <c r="M165" s="657"/>
      <c r="N165" s="657"/>
      <c r="O165" s="652"/>
      <c r="P165" s="652"/>
      <c r="Q165" s="652"/>
      <c r="R165" s="652"/>
      <c r="S165" s="652"/>
      <c r="T165" s="657"/>
      <c r="U165" s="657"/>
      <c r="V165" s="657"/>
      <c r="W165" s="652"/>
      <c r="X165" s="652"/>
      <c r="Y165" s="652"/>
      <c r="Z165" s="652"/>
      <c r="AA165" s="652"/>
      <c r="AB165" s="652"/>
      <c r="AC165" s="652"/>
      <c r="AD165" s="652"/>
      <c r="AE165" s="652"/>
      <c r="AF165" s="652"/>
      <c r="AG165" s="652"/>
      <c r="AH165" s="652"/>
      <c r="AI165" s="652"/>
      <c r="AJ165" s="652"/>
      <c r="AK165" s="652"/>
      <c r="AL165" s="652"/>
      <c r="AM165" s="652"/>
    </row>
    <row r="166" spans="1:39" hidden="1" x14ac:dyDescent="0.2">
      <c r="A166" s="652"/>
      <c r="B166" s="652"/>
      <c r="C166" s="652"/>
      <c r="D166" s="652"/>
      <c r="E166" s="652"/>
      <c r="F166" s="652"/>
      <c r="G166" s="652"/>
      <c r="H166" s="652"/>
      <c r="I166" s="652"/>
      <c r="J166" s="652"/>
      <c r="K166" s="652"/>
      <c r="L166" s="657"/>
      <c r="M166" s="657"/>
      <c r="N166" s="657"/>
      <c r="O166" s="652"/>
      <c r="P166" s="652"/>
      <c r="Q166" s="652"/>
      <c r="R166" s="652"/>
      <c r="S166" s="652"/>
      <c r="T166" s="657"/>
      <c r="U166" s="657"/>
      <c r="V166" s="657"/>
      <c r="W166" s="652"/>
      <c r="X166" s="652"/>
      <c r="Y166" s="652"/>
      <c r="Z166" s="652"/>
      <c r="AA166" s="652"/>
      <c r="AB166" s="652"/>
      <c r="AC166" s="652"/>
      <c r="AD166" s="652"/>
      <c r="AE166" s="652"/>
      <c r="AF166" s="652"/>
      <c r="AG166" s="652"/>
      <c r="AH166" s="652"/>
      <c r="AI166" s="652"/>
      <c r="AJ166" s="652"/>
      <c r="AK166" s="652"/>
      <c r="AL166" s="652"/>
      <c r="AM166" s="652"/>
    </row>
    <row r="167" spans="1:39" hidden="1" x14ac:dyDescent="0.2">
      <c r="A167" s="652"/>
      <c r="B167" s="652"/>
      <c r="C167" s="652"/>
      <c r="D167" s="652"/>
      <c r="E167" s="652"/>
      <c r="F167" s="652"/>
      <c r="G167" s="652"/>
      <c r="H167" s="652"/>
      <c r="I167" s="652"/>
      <c r="J167" s="652"/>
      <c r="K167" s="652"/>
      <c r="L167" s="657"/>
      <c r="M167" s="657"/>
      <c r="N167" s="657"/>
      <c r="O167" s="652"/>
      <c r="P167" s="652"/>
      <c r="Q167" s="652"/>
      <c r="R167" s="652"/>
      <c r="S167" s="652"/>
      <c r="T167" s="657"/>
      <c r="U167" s="657"/>
      <c r="V167" s="657"/>
      <c r="W167" s="652"/>
      <c r="X167" s="652"/>
      <c r="Y167" s="652"/>
      <c r="Z167" s="652"/>
      <c r="AA167" s="652"/>
      <c r="AB167" s="652"/>
      <c r="AC167" s="652"/>
      <c r="AD167" s="652"/>
      <c r="AE167" s="652"/>
      <c r="AF167" s="652"/>
      <c r="AG167" s="652"/>
      <c r="AH167" s="652"/>
      <c r="AI167" s="652"/>
      <c r="AJ167" s="652"/>
      <c r="AK167" s="652"/>
      <c r="AL167" s="652"/>
      <c r="AM167" s="652"/>
    </row>
    <row r="168" spans="1:39" hidden="1" x14ac:dyDescent="0.2">
      <c r="A168" s="652"/>
      <c r="B168" s="652"/>
      <c r="C168" s="652"/>
      <c r="D168" s="652"/>
      <c r="E168" s="652"/>
      <c r="F168" s="652"/>
      <c r="G168" s="652"/>
      <c r="H168" s="652"/>
      <c r="I168" s="652"/>
      <c r="J168" s="652"/>
      <c r="K168" s="652"/>
      <c r="L168" s="657"/>
      <c r="M168" s="657"/>
      <c r="N168" s="657"/>
      <c r="O168" s="652"/>
      <c r="P168" s="652"/>
      <c r="Q168" s="652"/>
      <c r="R168" s="652"/>
      <c r="S168" s="652"/>
      <c r="T168" s="657"/>
      <c r="U168" s="657"/>
      <c r="V168" s="657"/>
      <c r="W168" s="652"/>
      <c r="X168" s="652"/>
      <c r="Y168" s="652"/>
      <c r="Z168" s="652"/>
      <c r="AA168" s="652"/>
      <c r="AB168" s="652"/>
      <c r="AC168" s="652"/>
      <c r="AD168" s="652"/>
      <c r="AE168" s="652"/>
      <c r="AF168" s="652"/>
      <c r="AG168" s="652"/>
      <c r="AH168" s="652"/>
      <c r="AI168" s="652"/>
      <c r="AJ168" s="652"/>
      <c r="AK168" s="652"/>
      <c r="AL168" s="652"/>
      <c r="AM168" s="652"/>
    </row>
    <row r="169" spans="1:39" hidden="1" x14ac:dyDescent="0.2">
      <c r="A169" s="652"/>
      <c r="B169" s="652"/>
      <c r="C169" s="652"/>
      <c r="D169" s="652"/>
      <c r="E169" s="652"/>
      <c r="F169" s="652"/>
      <c r="G169" s="652"/>
      <c r="H169" s="652"/>
      <c r="I169" s="652"/>
      <c r="J169" s="652"/>
      <c r="K169" s="652"/>
      <c r="L169" s="657"/>
      <c r="M169" s="657"/>
      <c r="N169" s="657"/>
      <c r="O169" s="652"/>
      <c r="P169" s="652"/>
      <c r="Q169" s="652"/>
      <c r="R169" s="652"/>
      <c r="S169" s="652"/>
      <c r="T169" s="657"/>
      <c r="U169" s="657"/>
      <c r="V169" s="657"/>
      <c r="W169" s="652"/>
      <c r="X169" s="652"/>
      <c r="Y169" s="652"/>
      <c r="Z169" s="652"/>
      <c r="AA169" s="652"/>
      <c r="AB169" s="652"/>
      <c r="AC169" s="652"/>
      <c r="AD169" s="652"/>
      <c r="AE169" s="652"/>
      <c r="AF169" s="652"/>
      <c r="AG169" s="652"/>
      <c r="AH169" s="652"/>
      <c r="AI169" s="652"/>
      <c r="AJ169" s="652"/>
      <c r="AK169" s="652"/>
      <c r="AL169" s="652"/>
      <c r="AM169" s="652"/>
    </row>
    <row r="170" spans="1:39" hidden="1" x14ac:dyDescent="0.2">
      <c r="A170" s="652"/>
      <c r="B170" s="652"/>
      <c r="C170" s="652"/>
      <c r="D170" s="652"/>
      <c r="E170" s="652"/>
      <c r="F170" s="652"/>
      <c r="G170" s="652"/>
      <c r="H170" s="652"/>
      <c r="I170" s="652"/>
      <c r="J170" s="652"/>
      <c r="K170" s="652"/>
      <c r="L170" s="657"/>
      <c r="M170" s="657"/>
      <c r="N170" s="657"/>
      <c r="O170" s="652"/>
      <c r="P170" s="652"/>
      <c r="Q170" s="652"/>
      <c r="R170" s="652"/>
      <c r="S170" s="652"/>
      <c r="T170" s="657"/>
      <c r="U170" s="657"/>
      <c r="V170" s="657"/>
      <c r="W170" s="652"/>
      <c r="X170" s="652"/>
      <c r="Y170" s="652"/>
      <c r="Z170" s="652"/>
      <c r="AA170" s="652"/>
      <c r="AB170" s="652"/>
      <c r="AC170" s="652"/>
      <c r="AD170" s="652"/>
      <c r="AE170" s="652"/>
      <c r="AF170" s="652"/>
      <c r="AG170" s="652"/>
      <c r="AH170" s="652"/>
      <c r="AI170" s="652"/>
      <c r="AJ170" s="652"/>
      <c r="AK170" s="652"/>
      <c r="AL170" s="652"/>
      <c r="AM170" s="652"/>
    </row>
    <row r="171" spans="1:39" hidden="1" x14ac:dyDescent="0.2">
      <c r="A171" s="652"/>
      <c r="B171" s="652"/>
      <c r="C171" s="652"/>
      <c r="D171" s="652"/>
      <c r="E171" s="652"/>
      <c r="F171" s="652"/>
      <c r="G171" s="652"/>
      <c r="H171" s="652"/>
      <c r="I171" s="652"/>
      <c r="J171" s="652"/>
      <c r="K171" s="652"/>
      <c r="L171" s="657"/>
      <c r="M171" s="657"/>
      <c r="N171" s="657"/>
      <c r="O171" s="652"/>
      <c r="P171" s="652"/>
      <c r="Q171" s="652"/>
      <c r="R171" s="652"/>
      <c r="S171" s="652"/>
      <c r="T171" s="657"/>
      <c r="U171" s="657"/>
      <c r="V171" s="657"/>
      <c r="W171" s="652"/>
      <c r="X171" s="652"/>
      <c r="Y171" s="652"/>
      <c r="Z171" s="652"/>
      <c r="AA171" s="652"/>
      <c r="AB171" s="652"/>
      <c r="AC171" s="652"/>
      <c r="AD171" s="652"/>
      <c r="AE171" s="652"/>
      <c r="AF171" s="652"/>
      <c r="AG171" s="652"/>
      <c r="AH171" s="652"/>
      <c r="AI171" s="652"/>
      <c r="AJ171" s="652"/>
      <c r="AK171" s="652"/>
      <c r="AL171" s="652"/>
      <c r="AM171" s="652"/>
    </row>
    <row r="172" spans="1:39" hidden="1" x14ac:dyDescent="0.2">
      <c r="A172" s="652"/>
      <c r="B172" s="652"/>
      <c r="C172" s="652"/>
      <c r="D172" s="652"/>
      <c r="E172" s="652"/>
      <c r="F172" s="652"/>
      <c r="G172" s="652"/>
      <c r="H172" s="652"/>
      <c r="I172" s="652"/>
      <c r="J172" s="652"/>
      <c r="K172" s="652"/>
      <c r="L172" s="657"/>
      <c r="M172" s="657"/>
      <c r="N172" s="657"/>
      <c r="O172" s="652"/>
      <c r="P172" s="652"/>
      <c r="Q172" s="652"/>
      <c r="R172" s="652"/>
      <c r="S172" s="652"/>
      <c r="T172" s="657"/>
      <c r="U172" s="657"/>
      <c r="V172" s="657"/>
      <c r="W172" s="652"/>
      <c r="X172" s="652"/>
      <c r="Y172" s="652"/>
      <c r="Z172" s="652"/>
      <c r="AA172" s="652"/>
      <c r="AB172" s="652"/>
      <c r="AC172" s="652"/>
      <c r="AD172" s="652"/>
      <c r="AE172" s="652"/>
      <c r="AF172" s="652"/>
      <c r="AG172" s="652"/>
      <c r="AH172" s="652"/>
      <c r="AI172" s="652"/>
      <c r="AJ172" s="652"/>
      <c r="AK172" s="652"/>
      <c r="AL172" s="652"/>
      <c r="AM172" s="652"/>
    </row>
    <row r="173" spans="1:39" hidden="1" x14ac:dyDescent="0.2">
      <c r="A173" s="652"/>
      <c r="B173" s="652"/>
      <c r="C173" s="652"/>
      <c r="D173" s="652"/>
      <c r="E173" s="652"/>
      <c r="F173" s="652"/>
      <c r="G173" s="652"/>
      <c r="H173" s="652"/>
      <c r="I173" s="652"/>
      <c r="J173" s="652"/>
      <c r="K173" s="652"/>
      <c r="L173" s="657"/>
      <c r="M173" s="657"/>
      <c r="N173" s="657"/>
      <c r="O173" s="652"/>
      <c r="P173" s="652"/>
      <c r="Q173" s="652"/>
      <c r="R173" s="652"/>
      <c r="S173" s="652"/>
      <c r="T173" s="657"/>
      <c r="U173" s="657"/>
      <c r="V173" s="657"/>
      <c r="W173" s="652"/>
      <c r="X173" s="652"/>
      <c r="Y173" s="652"/>
      <c r="Z173" s="652"/>
      <c r="AA173" s="652"/>
      <c r="AB173" s="652"/>
      <c r="AC173" s="652"/>
      <c r="AD173" s="652"/>
      <c r="AE173" s="652"/>
      <c r="AF173" s="652"/>
      <c r="AG173" s="652"/>
      <c r="AH173" s="652"/>
      <c r="AI173" s="652"/>
      <c r="AJ173" s="652"/>
      <c r="AK173" s="652"/>
      <c r="AL173" s="652"/>
      <c r="AM173" s="652"/>
    </row>
    <row r="174" spans="1:39"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652"/>
      <c r="AF174" s="652"/>
      <c r="AG174" s="652"/>
      <c r="AH174" s="652"/>
      <c r="AI174" s="652"/>
      <c r="AJ174" s="652"/>
      <c r="AK174" s="652"/>
      <c r="AL174" s="652"/>
      <c r="AM174" s="652"/>
    </row>
    <row r="175" spans="1:39"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652"/>
      <c r="AF175" s="652"/>
      <c r="AG175" s="652"/>
      <c r="AH175" s="652"/>
      <c r="AI175" s="652"/>
      <c r="AJ175" s="652"/>
      <c r="AK175" s="652"/>
      <c r="AL175" s="652"/>
      <c r="AM175" s="652"/>
    </row>
    <row r="176" spans="1:39"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652"/>
      <c r="AF176" s="652"/>
      <c r="AG176" s="652"/>
      <c r="AH176" s="652"/>
      <c r="AI176" s="652"/>
      <c r="AJ176" s="652"/>
      <c r="AK176" s="652"/>
      <c r="AL176" s="652"/>
      <c r="AM176" s="652"/>
    </row>
    <row r="177" spans="1:39"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652"/>
      <c r="AF177" s="652"/>
      <c r="AG177" s="652"/>
      <c r="AH177" s="652"/>
      <c r="AI177" s="652"/>
      <c r="AJ177" s="652"/>
      <c r="AK177" s="652"/>
      <c r="AL177" s="652"/>
      <c r="AM177" s="652"/>
    </row>
    <row r="178" spans="1:39"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652"/>
      <c r="AF178" s="652"/>
      <c r="AG178" s="652"/>
      <c r="AH178" s="652"/>
      <c r="AI178" s="652"/>
      <c r="AJ178" s="652"/>
      <c r="AK178" s="652"/>
      <c r="AL178" s="652"/>
      <c r="AM178" s="652"/>
    </row>
    <row r="179" spans="1:39"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652"/>
      <c r="AF179" s="652"/>
      <c r="AG179" s="652"/>
      <c r="AH179" s="652"/>
      <c r="AI179" s="652"/>
      <c r="AJ179" s="652"/>
      <c r="AK179" s="652"/>
      <c r="AL179" s="652"/>
      <c r="AM179" s="652"/>
    </row>
    <row r="180" spans="1:39"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652"/>
      <c r="AF180" s="652"/>
      <c r="AG180" s="652"/>
      <c r="AH180" s="652"/>
      <c r="AI180" s="652"/>
      <c r="AJ180" s="652"/>
      <c r="AK180" s="652"/>
      <c r="AL180" s="652"/>
      <c r="AM180" s="652"/>
    </row>
    <row r="181" spans="1:39"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652"/>
      <c r="AF181" s="652"/>
      <c r="AG181" s="652"/>
      <c r="AH181" s="652"/>
      <c r="AI181" s="652"/>
      <c r="AJ181" s="652"/>
      <c r="AK181" s="652"/>
      <c r="AL181" s="652"/>
      <c r="AM181" s="652"/>
    </row>
    <row r="182" spans="1:39"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652"/>
      <c r="AF182" s="652"/>
      <c r="AG182" s="652"/>
      <c r="AH182" s="652"/>
      <c r="AI182" s="652"/>
      <c r="AJ182" s="652"/>
      <c r="AK182" s="652"/>
      <c r="AL182" s="652"/>
      <c r="AM182" s="652"/>
    </row>
    <row r="183" spans="1:39"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652"/>
      <c r="AF183" s="652"/>
      <c r="AG183" s="652"/>
      <c r="AH183" s="652"/>
      <c r="AI183" s="652"/>
      <c r="AJ183" s="652"/>
      <c r="AK183" s="652"/>
      <c r="AL183" s="652"/>
      <c r="AM183" s="652"/>
    </row>
    <row r="184" spans="1:39"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652"/>
      <c r="AF184" s="652"/>
      <c r="AG184" s="652"/>
      <c r="AH184" s="652"/>
      <c r="AI184" s="652"/>
      <c r="AJ184" s="652"/>
      <c r="AK184" s="652"/>
      <c r="AL184" s="652"/>
      <c r="AM184" s="652"/>
    </row>
    <row r="185" spans="1:39"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652"/>
      <c r="AF185" s="652"/>
      <c r="AG185" s="652"/>
      <c r="AH185" s="652"/>
      <c r="AI185" s="652"/>
      <c r="AJ185" s="652"/>
      <c r="AK185" s="652"/>
      <c r="AL185" s="652"/>
      <c r="AM185" s="652"/>
    </row>
    <row r="186" spans="1:39"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652"/>
      <c r="AF186" s="652"/>
      <c r="AG186" s="652"/>
      <c r="AH186" s="652"/>
      <c r="AI186" s="652"/>
      <c r="AJ186" s="652"/>
      <c r="AK186" s="652"/>
      <c r="AL186" s="652"/>
      <c r="AM186" s="652"/>
    </row>
    <row r="187" spans="1:39"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652"/>
      <c r="AF187" s="652"/>
      <c r="AG187" s="652"/>
      <c r="AH187" s="652"/>
      <c r="AI187" s="652"/>
      <c r="AJ187" s="652"/>
      <c r="AK187" s="652"/>
      <c r="AL187" s="652"/>
      <c r="AM187" s="652"/>
    </row>
    <row r="188" spans="1:39"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652"/>
      <c r="AF188" s="652"/>
      <c r="AG188" s="652"/>
      <c r="AH188" s="652"/>
      <c r="AI188" s="652"/>
      <c r="AJ188" s="652"/>
      <c r="AK188" s="652"/>
      <c r="AL188" s="652"/>
      <c r="AM188" s="652"/>
    </row>
    <row r="189" spans="1:39"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652"/>
      <c r="AF189" s="652"/>
      <c r="AG189" s="652"/>
      <c r="AH189" s="652"/>
      <c r="AI189" s="652"/>
      <c r="AJ189" s="652"/>
      <c r="AK189" s="652"/>
      <c r="AL189" s="652"/>
      <c r="AM189" s="652"/>
    </row>
    <row r="190" spans="1:39"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652"/>
      <c r="AF190" s="652"/>
      <c r="AG190" s="652"/>
      <c r="AH190" s="652"/>
      <c r="AI190" s="652"/>
      <c r="AJ190" s="652"/>
      <c r="AK190" s="652"/>
      <c r="AL190" s="652"/>
      <c r="AM190" s="652"/>
    </row>
    <row r="191" spans="1:39"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652"/>
      <c r="AF191" s="652"/>
      <c r="AG191" s="652"/>
      <c r="AH191" s="652"/>
      <c r="AI191" s="652"/>
      <c r="AJ191" s="652"/>
      <c r="AK191" s="652"/>
      <c r="AL191" s="652"/>
      <c r="AM191" s="652"/>
    </row>
    <row r="192" spans="1:39"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652"/>
      <c r="AF192" s="652"/>
      <c r="AG192" s="652"/>
      <c r="AH192" s="652"/>
      <c r="AI192" s="652"/>
      <c r="AJ192" s="652"/>
      <c r="AK192" s="652"/>
      <c r="AL192" s="652"/>
      <c r="AM192" s="652"/>
    </row>
    <row r="193" spans="1:39"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652"/>
      <c r="AF193" s="652"/>
      <c r="AG193" s="652"/>
      <c r="AH193" s="652"/>
      <c r="AI193" s="652"/>
      <c r="AJ193" s="652"/>
      <c r="AK193" s="652"/>
      <c r="AL193" s="652"/>
      <c r="AM193" s="652"/>
    </row>
    <row r="194" spans="1:39"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652"/>
      <c r="AF194" s="652"/>
      <c r="AG194" s="652"/>
      <c r="AH194" s="652"/>
      <c r="AI194" s="652"/>
      <c r="AJ194" s="652"/>
      <c r="AK194" s="652"/>
      <c r="AL194" s="652"/>
      <c r="AM194" s="652"/>
    </row>
    <row r="195" spans="1:39"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652"/>
      <c r="AF195" s="652"/>
      <c r="AG195" s="652"/>
      <c r="AH195" s="652"/>
      <c r="AI195" s="652"/>
      <c r="AJ195" s="652"/>
      <c r="AK195" s="652"/>
      <c r="AL195" s="652"/>
      <c r="AM195" s="652"/>
    </row>
    <row r="196" spans="1:39"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652"/>
      <c r="AF196" s="652"/>
      <c r="AG196" s="652"/>
      <c r="AH196" s="652"/>
      <c r="AI196" s="652"/>
      <c r="AJ196" s="652"/>
      <c r="AK196" s="652"/>
      <c r="AL196" s="652"/>
      <c r="AM196" s="652"/>
    </row>
    <row r="197" spans="1:39"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652"/>
      <c r="AF197" s="652"/>
      <c r="AG197" s="652"/>
      <c r="AH197" s="652"/>
      <c r="AI197" s="652"/>
      <c r="AJ197" s="652"/>
      <c r="AK197" s="652"/>
      <c r="AL197" s="652"/>
      <c r="AM197" s="652"/>
    </row>
    <row r="198" spans="1:39"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652"/>
      <c r="AF198" s="652"/>
      <c r="AG198" s="652"/>
      <c r="AH198" s="652"/>
      <c r="AI198" s="652"/>
      <c r="AJ198" s="652"/>
      <c r="AK198" s="652"/>
      <c r="AL198" s="652"/>
      <c r="AM198" s="652"/>
    </row>
    <row r="199" spans="1:39"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652"/>
      <c r="AF199" s="652"/>
      <c r="AG199" s="652"/>
      <c r="AH199" s="652"/>
      <c r="AI199" s="652"/>
      <c r="AJ199" s="652"/>
      <c r="AK199" s="652"/>
      <c r="AL199" s="652"/>
      <c r="AM199" s="652"/>
    </row>
    <row r="200" spans="1:39"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652"/>
      <c r="AF200" s="652"/>
      <c r="AG200" s="652"/>
      <c r="AH200" s="652"/>
      <c r="AI200" s="652"/>
      <c r="AJ200" s="652"/>
      <c r="AK200" s="652"/>
      <c r="AL200" s="652"/>
      <c r="AM200" s="652"/>
    </row>
    <row r="201" spans="1:39"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652"/>
      <c r="AF201" s="652"/>
      <c r="AG201" s="652"/>
      <c r="AH201" s="652"/>
      <c r="AI201" s="652"/>
      <c r="AJ201" s="652"/>
      <c r="AK201" s="652"/>
      <c r="AL201" s="652"/>
      <c r="AM201" s="652"/>
    </row>
    <row r="202" spans="1:39"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652"/>
      <c r="AF202" s="652"/>
      <c r="AG202" s="652"/>
      <c r="AH202" s="652"/>
      <c r="AI202" s="652"/>
      <c r="AJ202" s="652"/>
      <c r="AK202" s="652"/>
      <c r="AL202" s="652"/>
      <c r="AM202" s="652"/>
    </row>
    <row r="203" spans="1:39"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652"/>
      <c r="AF203" s="652"/>
      <c r="AG203" s="652"/>
      <c r="AH203" s="652"/>
      <c r="AI203" s="652"/>
      <c r="AJ203" s="652"/>
      <c r="AK203" s="652"/>
      <c r="AL203" s="652"/>
      <c r="AM203" s="652"/>
    </row>
    <row r="204" spans="1:39"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652"/>
      <c r="AF204" s="652"/>
      <c r="AG204" s="652"/>
      <c r="AH204" s="652"/>
      <c r="AI204" s="652"/>
      <c r="AJ204" s="652"/>
      <c r="AK204" s="652"/>
      <c r="AL204" s="652"/>
      <c r="AM204" s="652"/>
    </row>
    <row r="205" spans="1:39"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652"/>
      <c r="AF205" s="652"/>
      <c r="AG205" s="652"/>
      <c r="AH205" s="652"/>
      <c r="AI205" s="652"/>
      <c r="AJ205" s="652"/>
      <c r="AK205" s="652"/>
      <c r="AL205" s="652"/>
      <c r="AM205" s="652"/>
    </row>
    <row r="206" spans="1:39"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652"/>
      <c r="AF206" s="652"/>
      <c r="AG206" s="652"/>
      <c r="AH206" s="652"/>
      <c r="AI206" s="652"/>
      <c r="AJ206" s="652"/>
      <c r="AK206" s="652"/>
      <c r="AL206" s="652"/>
      <c r="AM206" s="652"/>
    </row>
    <row r="207" spans="1:39"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652"/>
      <c r="AF207" s="652"/>
      <c r="AG207" s="652"/>
      <c r="AH207" s="652"/>
      <c r="AI207" s="652"/>
      <c r="AJ207" s="652"/>
      <c r="AK207" s="652"/>
      <c r="AL207" s="652"/>
      <c r="AM207" s="652"/>
    </row>
    <row r="208" spans="1:39"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652"/>
      <c r="AF208" s="652"/>
      <c r="AG208" s="652"/>
      <c r="AH208" s="652"/>
      <c r="AI208" s="652"/>
      <c r="AJ208" s="652"/>
      <c r="AK208" s="652"/>
      <c r="AL208" s="652"/>
      <c r="AM208" s="652"/>
    </row>
    <row r="209" spans="1:39"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652"/>
      <c r="AF209" s="652"/>
      <c r="AG209" s="652"/>
      <c r="AH209" s="652"/>
      <c r="AI209" s="652"/>
      <c r="AJ209" s="652"/>
      <c r="AK209" s="652"/>
      <c r="AL209" s="652"/>
      <c r="AM209" s="652"/>
    </row>
    <row r="210" spans="1:39"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652"/>
      <c r="AF210" s="652"/>
      <c r="AG210" s="652"/>
      <c r="AH210" s="652"/>
      <c r="AI210" s="652"/>
      <c r="AJ210" s="652"/>
      <c r="AK210" s="652"/>
      <c r="AL210" s="652"/>
      <c r="AM210" s="652"/>
    </row>
    <row r="211" spans="1:39"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652"/>
      <c r="AF211" s="652"/>
      <c r="AG211" s="652"/>
      <c r="AH211" s="652"/>
      <c r="AI211" s="652"/>
      <c r="AJ211" s="652"/>
      <c r="AK211" s="652"/>
      <c r="AL211" s="652"/>
      <c r="AM211" s="652"/>
    </row>
    <row r="212" spans="1:39"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652"/>
      <c r="AF212" s="652"/>
      <c r="AG212" s="652"/>
      <c r="AH212" s="652"/>
      <c r="AI212" s="652"/>
      <c r="AJ212" s="652"/>
      <c r="AK212" s="652"/>
      <c r="AL212" s="652"/>
      <c r="AM212" s="652"/>
    </row>
    <row r="213" spans="1:39"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652"/>
      <c r="AF213" s="652"/>
      <c r="AG213" s="652"/>
      <c r="AH213" s="652"/>
      <c r="AI213" s="652"/>
      <c r="AJ213" s="652"/>
      <c r="AK213" s="652"/>
      <c r="AL213" s="652"/>
      <c r="AM213" s="652"/>
    </row>
    <row r="214" spans="1:39"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652"/>
      <c r="AF214" s="652"/>
      <c r="AG214" s="652"/>
      <c r="AH214" s="652"/>
      <c r="AI214" s="652"/>
      <c r="AJ214" s="652"/>
      <c r="AK214" s="652"/>
      <c r="AL214" s="652"/>
      <c r="AM214" s="652"/>
    </row>
    <row r="215" spans="1:39"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652"/>
      <c r="AF215" s="652"/>
      <c r="AG215" s="652"/>
      <c r="AH215" s="652"/>
      <c r="AI215" s="652"/>
      <c r="AJ215" s="652"/>
      <c r="AK215" s="652"/>
      <c r="AL215" s="652"/>
      <c r="AM215" s="652"/>
    </row>
    <row r="216" spans="1:39"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652"/>
      <c r="AF216" s="652"/>
      <c r="AG216" s="652"/>
      <c r="AH216" s="652"/>
      <c r="AI216" s="652"/>
      <c r="AJ216" s="652"/>
      <c r="AK216" s="652"/>
      <c r="AL216" s="652"/>
      <c r="AM216" s="652"/>
    </row>
    <row r="217" spans="1:39"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652"/>
      <c r="AF217" s="652"/>
      <c r="AG217" s="652"/>
      <c r="AH217" s="652"/>
      <c r="AI217" s="652"/>
      <c r="AJ217" s="652"/>
      <c r="AK217" s="652"/>
      <c r="AL217" s="652"/>
      <c r="AM217" s="652"/>
    </row>
    <row r="218" spans="1:39"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652"/>
      <c r="AF218" s="652"/>
      <c r="AG218" s="652"/>
      <c r="AH218" s="652"/>
      <c r="AI218" s="652"/>
      <c r="AJ218" s="652"/>
      <c r="AK218" s="652"/>
      <c r="AL218" s="652"/>
      <c r="AM218" s="652"/>
    </row>
    <row r="219" spans="1:39"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652"/>
      <c r="AF219" s="652"/>
      <c r="AG219" s="652"/>
      <c r="AH219" s="652"/>
      <c r="AI219" s="652"/>
      <c r="AJ219" s="652"/>
      <c r="AK219" s="652"/>
      <c r="AL219" s="652"/>
      <c r="AM219" s="652"/>
    </row>
    <row r="220" spans="1:39"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652"/>
      <c r="AF220" s="652"/>
      <c r="AG220" s="652"/>
      <c r="AH220" s="652"/>
      <c r="AI220" s="652"/>
      <c r="AJ220" s="652"/>
      <c r="AK220" s="652"/>
      <c r="AL220" s="652"/>
      <c r="AM220" s="652"/>
    </row>
    <row r="221" spans="1:39"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652"/>
      <c r="AF221" s="652"/>
      <c r="AG221" s="652"/>
      <c r="AH221" s="652"/>
      <c r="AI221" s="652"/>
      <c r="AJ221" s="652"/>
      <c r="AK221" s="652"/>
      <c r="AL221" s="652"/>
      <c r="AM221" s="652"/>
    </row>
    <row r="222" spans="1:39"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652"/>
      <c r="AF222" s="652"/>
      <c r="AG222" s="652"/>
      <c r="AH222" s="652"/>
      <c r="AI222" s="652"/>
      <c r="AJ222" s="652"/>
      <c r="AK222" s="652"/>
      <c r="AL222" s="652"/>
      <c r="AM222" s="652"/>
    </row>
    <row r="223" spans="1:39"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652"/>
      <c r="AF223" s="652"/>
      <c r="AG223" s="652"/>
      <c r="AH223" s="652"/>
      <c r="AI223" s="652"/>
      <c r="AJ223" s="652"/>
      <c r="AK223" s="652"/>
      <c r="AL223" s="652"/>
      <c r="AM223" s="652"/>
    </row>
    <row r="224" spans="1:39"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652"/>
      <c r="AF224" s="652"/>
      <c r="AG224" s="652"/>
      <c r="AH224" s="652"/>
      <c r="AI224" s="652"/>
      <c r="AJ224" s="652"/>
      <c r="AK224" s="652"/>
      <c r="AL224" s="652"/>
      <c r="AM224" s="652"/>
    </row>
    <row r="225" spans="1:39"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652"/>
      <c r="AF225" s="652"/>
      <c r="AG225" s="652"/>
      <c r="AH225" s="652"/>
      <c r="AI225" s="652"/>
      <c r="AJ225" s="652"/>
      <c r="AK225" s="652"/>
      <c r="AL225" s="652"/>
      <c r="AM225" s="652"/>
    </row>
    <row r="226" spans="1:39"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652"/>
      <c r="AF226" s="652"/>
      <c r="AG226" s="652"/>
      <c r="AH226" s="652"/>
      <c r="AI226" s="652"/>
      <c r="AJ226" s="652"/>
      <c r="AK226" s="652"/>
      <c r="AL226" s="652"/>
      <c r="AM226" s="652"/>
    </row>
    <row r="227" spans="1:39"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652"/>
      <c r="AF227" s="652"/>
      <c r="AG227" s="652"/>
      <c r="AH227" s="652"/>
      <c r="AI227" s="652"/>
      <c r="AJ227" s="652"/>
      <c r="AK227" s="652"/>
      <c r="AL227" s="652"/>
      <c r="AM227" s="652"/>
    </row>
    <row r="228" spans="1:39"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652"/>
      <c r="AF228" s="652"/>
      <c r="AG228" s="652"/>
      <c r="AH228" s="652"/>
      <c r="AI228" s="652"/>
      <c r="AJ228" s="652"/>
      <c r="AK228" s="652"/>
      <c r="AL228" s="652"/>
      <c r="AM228" s="652"/>
    </row>
    <row r="229" spans="1:39"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652"/>
      <c r="AF229" s="652"/>
      <c r="AG229" s="652"/>
      <c r="AH229" s="652"/>
      <c r="AI229" s="652"/>
      <c r="AJ229" s="652"/>
      <c r="AK229" s="652"/>
      <c r="AL229" s="652"/>
      <c r="AM229" s="652"/>
    </row>
    <row r="230" spans="1:39"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652"/>
      <c r="AF230" s="652"/>
      <c r="AG230" s="652"/>
      <c r="AH230" s="652"/>
      <c r="AI230" s="652"/>
      <c r="AJ230" s="652"/>
      <c r="AK230" s="652"/>
      <c r="AL230" s="652"/>
      <c r="AM230" s="652"/>
    </row>
    <row r="231" spans="1:39"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652"/>
      <c r="AF231" s="652"/>
      <c r="AG231" s="652"/>
      <c r="AH231" s="652"/>
      <c r="AI231" s="652"/>
      <c r="AJ231" s="652"/>
      <c r="AK231" s="652"/>
      <c r="AL231" s="652"/>
      <c r="AM231" s="652"/>
    </row>
    <row r="232" spans="1:39"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652"/>
      <c r="AF232" s="652"/>
      <c r="AG232" s="652"/>
      <c r="AH232" s="652"/>
      <c r="AI232" s="652"/>
      <c r="AJ232" s="652"/>
      <c r="AK232" s="652"/>
      <c r="AL232" s="652"/>
      <c r="AM232" s="652"/>
    </row>
    <row r="233" spans="1:39"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652"/>
      <c r="AF233" s="652"/>
      <c r="AG233" s="652"/>
      <c r="AH233" s="652"/>
      <c r="AI233" s="652"/>
      <c r="AJ233" s="652"/>
      <c r="AK233" s="652"/>
      <c r="AL233" s="652"/>
      <c r="AM233" s="652"/>
    </row>
    <row r="234" spans="1:39"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652"/>
      <c r="AF234" s="652"/>
      <c r="AG234" s="652"/>
      <c r="AH234" s="652"/>
      <c r="AI234" s="652"/>
      <c r="AJ234" s="652"/>
      <c r="AK234" s="652"/>
      <c r="AL234" s="652"/>
      <c r="AM234" s="652"/>
    </row>
    <row r="235" spans="1:39"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652"/>
      <c r="AF235" s="652"/>
      <c r="AG235" s="652"/>
      <c r="AH235" s="652"/>
      <c r="AI235" s="652"/>
      <c r="AJ235" s="652"/>
      <c r="AK235" s="652"/>
      <c r="AL235" s="652"/>
      <c r="AM235" s="652"/>
    </row>
    <row r="236" spans="1:39"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652"/>
      <c r="AF236" s="652"/>
      <c r="AG236" s="652"/>
      <c r="AH236" s="652"/>
      <c r="AI236" s="652"/>
      <c r="AJ236" s="652"/>
      <c r="AK236" s="652"/>
      <c r="AL236" s="652"/>
      <c r="AM236" s="652"/>
    </row>
    <row r="237" spans="1:39"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652"/>
      <c r="AF237" s="652"/>
      <c r="AG237" s="652"/>
      <c r="AH237" s="652"/>
      <c r="AI237" s="652"/>
      <c r="AJ237" s="652"/>
      <c r="AK237" s="652"/>
      <c r="AL237" s="652"/>
      <c r="AM237" s="652"/>
    </row>
    <row r="238" spans="1:39"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652"/>
      <c r="AF238" s="652"/>
      <c r="AG238" s="652"/>
      <c r="AH238" s="652"/>
      <c r="AI238" s="652"/>
      <c r="AJ238" s="652"/>
      <c r="AK238" s="652"/>
      <c r="AL238" s="652"/>
      <c r="AM238" s="652"/>
    </row>
    <row r="239" spans="1:39"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652"/>
      <c r="AF239" s="652"/>
      <c r="AG239" s="652"/>
      <c r="AH239" s="652"/>
      <c r="AI239" s="652"/>
      <c r="AJ239" s="652"/>
      <c r="AK239" s="652"/>
      <c r="AL239" s="652"/>
      <c r="AM239" s="652"/>
    </row>
    <row r="240" spans="1:39"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652"/>
      <c r="AF240" s="652"/>
      <c r="AG240" s="652"/>
      <c r="AH240" s="652"/>
      <c r="AI240" s="652"/>
      <c r="AJ240" s="652"/>
      <c r="AK240" s="652"/>
      <c r="AL240" s="652"/>
      <c r="AM240" s="652"/>
    </row>
    <row r="241" spans="1:39"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652"/>
      <c r="AF241" s="652"/>
      <c r="AG241" s="652"/>
      <c r="AH241" s="652"/>
      <c r="AI241" s="652"/>
      <c r="AJ241" s="652"/>
      <c r="AK241" s="652"/>
      <c r="AL241" s="652"/>
      <c r="AM241" s="652"/>
    </row>
    <row r="242" spans="1:39"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652"/>
      <c r="AF242" s="652"/>
      <c r="AG242" s="652"/>
      <c r="AH242" s="652"/>
      <c r="AI242" s="652"/>
      <c r="AJ242" s="652"/>
      <c r="AK242" s="652"/>
      <c r="AL242" s="652"/>
      <c r="AM242" s="652"/>
    </row>
    <row r="243" spans="1:39"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652"/>
      <c r="AF243" s="652"/>
      <c r="AG243" s="652"/>
      <c r="AH243" s="652"/>
      <c r="AI243" s="652"/>
      <c r="AJ243" s="652"/>
      <c r="AK243" s="652"/>
      <c r="AL243" s="652"/>
      <c r="AM243" s="652"/>
    </row>
    <row r="244" spans="1:39"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652"/>
      <c r="AF244" s="652"/>
      <c r="AG244" s="652"/>
      <c r="AH244" s="652"/>
      <c r="AI244" s="652"/>
      <c r="AJ244" s="652"/>
      <c r="AK244" s="652"/>
      <c r="AL244" s="652"/>
      <c r="AM244" s="652"/>
    </row>
    <row r="245" spans="1:39"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652"/>
      <c r="AF245" s="652"/>
      <c r="AG245" s="652"/>
      <c r="AH245" s="652"/>
      <c r="AI245" s="652"/>
      <c r="AJ245" s="652"/>
      <c r="AK245" s="652"/>
      <c r="AL245" s="652"/>
      <c r="AM245" s="652"/>
    </row>
    <row r="246" spans="1:39"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652"/>
      <c r="AF246" s="652"/>
      <c r="AG246" s="652"/>
      <c r="AH246" s="652"/>
      <c r="AI246" s="652"/>
      <c r="AJ246" s="652"/>
      <c r="AK246" s="652"/>
      <c r="AL246" s="652"/>
      <c r="AM246" s="652"/>
    </row>
    <row r="247" spans="1:39"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652"/>
      <c r="AF247" s="652"/>
      <c r="AG247" s="652"/>
      <c r="AH247" s="652"/>
      <c r="AI247" s="652"/>
      <c r="AJ247" s="652"/>
      <c r="AK247" s="652"/>
      <c r="AL247" s="652"/>
      <c r="AM247" s="652"/>
    </row>
    <row r="248" spans="1:39"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652"/>
      <c r="AF248" s="652"/>
      <c r="AG248" s="652"/>
      <c r="AH248" s="652"/>
      <c r="AI248" s="652"/>
      <c r="AJ248" s="652"/>
      <c r="AK248" s="652"/>
      <c r="AL248" s="652"/>
      <c r="AM248" s="652"/>
    </row>
    <row r="249" spans="1:39"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652"/>
      <c r="AF249" s="652"/>
      <c r="AG249" s="652"/>
      <c r="AH249" s="652"/>
      <c r="AI249" s="652"/>
      <c r="AJ249" s="652"/>
      <c r="AK249" s="652"/>
      <c r="AL249" s="652"/>
      <c r="AM249" s="652"/>
    </row>
    <row r="250" spans="1:39"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652"/>
      <c r="AF250" s="652"/>
      <c r="AG250" s="652"/>
      <c r="AH250" s="652"/>
      <c r="AI250" s="652"/>
      <c r="AJ250" s="652"/>
      <c r="AK250" s="652"/>
      <c r="AL250" s="652"/>
      <c r="AM250" s="652"/>
    </row>
    <row r="251" spans="1:39"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652"/>
      <c r="AF251" s="652"/>
      <c r="AG251" s="652"/>
      <c r="AH251" s="652"/>
      <c r="AI251" s="652"/>
      <c r="AJ251" s="652"/>
      <c r="AK251" s="652"/>
      <c r="AL251" s="652"/>
      <c r="AM251" s="652"/>
    </row>
    <row r="252" spans="1:39"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652"/>
      <c r="AF252" s="652"/>
      <c r="AG252" s="652"/>
      <c r="AH252" s="652"/>
      <c r="AI252" s="652"/>
      <c r="AJ252" s="652"/>
      <c r="AK252" s="652"/>
      <c r="AL252" s="652"/>
      <c r="AM252" s="652"/>
    </row>
    <row r="253" spans="1:39"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652"/>
      <c r="AF253" s="652"/>
      <c r="AG253" s="652"/>
      <c r="AH253" s="652"/>
      <c r="AI253" s="652"/>
      <c r="AJ253" s="652"/>
      <c r="AK253" s="652"/>
      <c r="AL253" s="652"/>
      <c r="AM253" s="652"/>
    </row>
    <row r="254" spans="1:39"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652"/>
      <c r="AF254" s="652"/>
      <c r="AG254" s="652"/>
      <c r="AH254" s="652"/>
      <c r="AI254" s="652"/>
      <c r="AJ254" s="652"/>
      <c r="AK254" s="652"/>
      <c r="AL254" s="652"/>
      <c r="AM254" s="652"/>
    </row>
    <row r="255" spans="1:39"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652"/>
      <c r="AF255" s="652"/>
      <c r="AG255" s="652"/>
      <c r="AH255" s="652"/>
      <c r="AI255" s="652"/>
      <c r="AJ255" s="652"/>
      <c r="AK255" s="652"/>
      <c r="AL255" s="652"/>
      <c r="AM255" s="652"/>
    </row>
    <row r="256" spans="1:39"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652"/>
      <c r="AF256" s="652"/>
      <c r="AG256" s="652"/>
      <c r="AH256" s="652"/>
      <c r="AI256" s="652"/>
      <c r="AJ256" s="652"/>
      <c r="AK256" s="652"/>
      <c r="AL256" s="652"/>
      <c r="AM256" s="652"/>
    </row>
    <row r="257" spans="1:39"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652"/>
      <c r="AF257" s="652"/>
      <c r="AG257" s="652"/>
      <c r="AH257" s="652"/>
      <c r="AI257" s="652"/>
      <c r="AJ257" s="652"/>
      <c r="AK257" s="652"/>
      <c r="AL257" s="652"/>
      <c r="AM257" s="652"/>
    </row>
    <row r="258" spans="1:39"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652"/>
      <c r="AF258" s="652"/>
      <c r="AG258" s="652"/>
      <c r="AH258" s="652"/>
      <c r="AI258" s="652"/>
      <c r="AJ258" s="652"/>
      <c r="AK258" s="652"/>
      <c r="AL258" s="652"/>
      <c r="AM258" s="652"/>
    </row>
    <row r="259" spans="1:39"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652"/>
      <c r="AF259" s="652"/>
      <c r="AG259" s="652"/>
      <c r="AH259" s="652"/>
      <c r="AI259" s="652"/>
      <c r="AJ259" s="652"/>
      <c r="AK259" s="652"/>
      <c r="AL259" s="652"/>
      <c r="AM259" s="652"/>
    </row>
    <row r="260" spans="1:39"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652"/>
      <c r="AF260" s="652"/>
      <c r="AG260" s="652"/>
      <c r="AH260" s="652"/>
      <c r="AI260" s="652"/>
      <c r="AJ260" s="652"/>
      <c r="AK260" s="652"/>
      <c r="AL260" s="652"/>
      <c r="AM260" s="652"/>
    </row>
    <row r="261" spans="1:39"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652"/>
      <c r="AF261" s="652"/>
      <c r="AG261" s="652"/>
      <c r="AH261" s="652"/>
      <c r="AI261" s="652"/>
      <c r="AJ261" s="652"/>
      <c r="AK261" s="652"/>
      <c r="AL261" s="652"/>
      <c r="AM261" s="652"/>
    </row>
    <row r="262" spans="1:39"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652"/>
      <c r="AF262" s="652"/>
      <c r="AG262" s="652"/>
      <c r="AH262" s="652"/>
      <c r="AI262" s="652"/>
      <c r="AJ262" s="652"/>
      <c r="AK262" s="652"/>
      <c r="AL262" s="652"/>
      <c r="AM262" s="652"/>
    </row>
    <row r="263" spans="1:39"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652"/>
      <c r="AF263" s="652"/>
      <c r="AG263" s="652"/>
      <c r="AH263" s="652"/>
      <c r="AI263" s="652"/>
      <c r="AJ263" s="652"/>
      <c r="AK263" s="652"/>
      <c r="AL263" s="652"/>
      <c r="AM263" s="652"/>
    </row>
    <row r="264" spans="1:39"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652"/>
      <c r="AF264" s="652"/>
      <c r="AG264" s="652"/>
      <c r="AH264" s="652"/>
      <c r="AI264" s="652"/>
      <c r="AJ264" s="652"/>
      <c r="AK264" s="652"/>
      <c r="AL264" s="652"/>
      <c r="AM264" s="652"/>
    </row>
    <row r="265" spans="1:39"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652"/>
      <c r="AF265" s="652"/>
      <c r="AG265" s="652"/>
      <c r="AH265" s="652"/>
      <c r="AI265" s="652"/>
      <c r="AJ265" s="652"/>
      <c r="AK265" s="652"/>
      <c r="AL265" s="652"/>
      <c r="AM265" s="652"/>
    </row>
    <row r="266" spans="1:39"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652"/>
      <c r="AF266" s="652"/>
      <c r="AG266" s="652"/>
      <c r="AH266" s="652"/>
      <c r="AI266" s="652"/>
      <c r="AJ266" s="652"/>
      <c r="AK266" s="652"/>
      <c r="AL266" s="652"/>
      <c r="AM266" s="652"/>
    </row>
    <row r="267" spans="1:39"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652"/>
      <c r="AF267" s="652"/>
      <c r="AG267" s="652"/>
      <c r="AH267" s="652"/>
      <c r="AI267" s="652"/>
      <c r="AJ267" s="652"/>
      <c r="AK267" s="652"/>
      <c r="AL267" s="652"/>
      <c r="AM267" s="652"/>
    </row>
    <row r="268" spans="1:39"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652"/>
      <c r="AF268" s="652"/>
      <c r="AG268" s="652"/>
      <c r="AH268" s="652"/>
      <c r="AI268" s="652"/>
      <c r="AJ268" s="652"/>
      <c r="AK268" s="652"/>
      <c r="AL268" s="652"/>
      <c r="AM268" s="652"/>
    </row>
    <row r="269" spans="1:39"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652"/>
      <c r="AF269" s="652"/>
      <c r="AG269" s="652"/>
      <c r="AH269" s="652"/>
      <c r="AI269" s="652"/>
      <c r="AJ269" s="652"/>
      <c r="AK269" s="652"/>
      <c r="AL269" s="652"/>
      <c r="AM269" s="652"/>
    </row>
    <row r="270" spans="1:39"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652"/>
      <c r="AF270" s="652"/>
      <c r="AG270" s="652"/>
      <c r="AH270" s="652"/>
      <c r="AI270" s="652"/>
      <c r="AJ270" s="652"/>
      <c r="AK270" s="652"/>
      <c r="AL270" s="652"/>
      <c r="AM270" s="652"/>
    </row>
    <row r="271" spans="1:39"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652"/>
      <c r="AF271" s="652"/>
      <c r="AG271" s="652"/>
      <c r="AH271" s="652"/>
      <c r="AI271" s="652"/>
      <c r="AJ271" s="652"/>
      <c r="AK271" s="652"/>
      <c r="AL271" s="652"/>
      <c r="AM271" s="652"/>
    </row>
    <row r="272" spans="1:39"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652"/>
      <c r="AF272" s="652"/>
      <c r="AG272" s="652"/>
      <c r="AH272" s="652"/>
      <c r="AI272" s="652"/>
      <c r="AJ272" s="652"/>
      <c r="AK272" s="652"/>
      <c r="AL272" s="652"/>
      <c r="AM272" s="652"/>
    </row>
    <row r="273" spans="1:39"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652"/>
      <c r="AF273" s="652"/>
      <c r="AG273" s="652"/>
      <c r="AH273" s="652"/>
      <c r="AI273" s="652"/>
      <c r="AJ273" s="652"/>
      <c r="AK273" s="652"/>
      <c r="AL273" s="652"/>
      <c r="AM273" s="652"/>
    </row>
    <row r="274" spans="1:39"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652"/>
      <c r="AF274" s="652"/>
      <c r="AG274" s="652"/>
      <c r="AH274" s="652"/>
      <c r="AI274" s="652"/>
      <c r="AJ274" s="652"/>
      <c r="AK274" s="652"/>
      <c r="AL274" s="652"/>
      <c r="AM274" s="652"/>
    </row>
    <row r="275" spans="1:39"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652"/>
      <c r="AF275" s="652"/>
      <c r="AG275" s="652"/>
      <c r="AH275" s="652"/>
      <c r="AI275" s="652"/>
      <c r="AJ275" s="652"/>
      <c r="AK275" s="652"/>
      <c r="AL275" s="652"/>
      <c r="AM275" s="652"/>
    </row>
    <row r="276" spans="1:39"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652"/>
      <c r="AF276" s="652"/>
      <c r="AG276" s="652"/>
      <c r="AH276" s="652"/>
      <c r="AI276" s="652"/>
      <c r="AJ276" s="652"/>
      <c r="AK276" s="652"/>
      <c r="AL276" s="652"/>
      <c r="AM276" s="652"/>
    </row>
    <row r="277" spans="1:39"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652"/>
      <c r="AF277" s="652"/>
      <c r="AG277" s="652"/>
      <c r="AH277" s="652"/>
      <c r="AI277" s="652"/>
      <c r="AJ277" s="652"/>
      <c r="AK277" s="652"/>
      <c r="AL277" s="652"/>
      <c r="AM277" s="652"/>
    </row>
    <row r="278" spans="1:39"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652"/>
      <c r="AF278" s="652"/>
      <c r="AG278" s="652"/>
      <c r="AH278" s="652"/>
      <c r="AI278" s="652"/>
      <c r="AJ278" s="652"/>
      <c r="AK278" s="652"/>
      <c r="AL278" s="652"/>
      <c r="AM278" s="652"/>
    </row>
    <row r="279" spans="1:39"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652"/>
      <c r="AF279" s="652"/>
      <c r="AG279" s="652"/>
      <c r="AH279" s="652"/>
      <c r="AI279" s="652"/>
      <c r="AJ279" s="652"/>
      <c r="AK279" s="652"/>
      <c r="AL279" s="652"/>
      <c r="AM279" s="652"/>
    </row>
    <row r="280" spans="1:39"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652"/>
      <c r="AF280" s="652"/>
      <c r="AG280" s="652"/>
      <c r="AH280" s="652"/>
      <c r="AI280" s="652"/>
      <c r="AJ280" s="652"/>
      <c r="AK280" s="652"/>
      <c r="AL280" s="652"/>
      <c r="AM280" s="652"/>
    </row>
    <row r="281" spans="1:39"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652"/>
      <c r="AF281" s="652"/>
      <c r="AG281" s="652"/>
      <c r="AH281" s="652"/>
      <c r="AI281" s="652"/>
      <c r="AJ281" s="652"/>
      <c r="AK281" s="652"/>
      <c r="AL281" s="652"/>
      <c r="AM281" s="652"/>
    </row>
    <row r="282" spans="1:39"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652"/>
      <c r="AF282" s="652"/>
      <c r="AG282" s="652"/>
      <c r="AH282" s="652"/>
      <c r="AI282" s="652"/>
      <c r="AJ282" s="652"/>
      <c r="AK282" s="652"/>
      <c r="AL282" s="652"/>
      <c r="AM282" s="652"/>
    </row>
    <row r="283" spans="1:39"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652"/>
      <c r="AF283" s="652"/>
      <c r="AG283" s="652"/>
      <c r="AH283" s="652"/>
      <c r="AI283" s="652"/>
      <c r="AJ283" s="652"/>
      <c r="AK283" s="652"/>
      <c r="AL283" s="652"/>
      <c r="AM283" s="652"/>
    </row>
    <row r="284" spans="1:39"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652"/>
      <c r="AF284" s="652"/>
      <c r="AG284" s="652"/>
      <c r="AH284" s="652"/>
      <c r="AI284" s="652"/>
      <c r="AJ284" s="652"/>
      <c r="AK284" s="652"/>
      <c r="AL284" s="652"/>
      <c r="AM284" s="652"/>
    </row>
    <row r="285" spans="1:39"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652"/>
      <c r="AF285" s="652"/>
      <c r="AG285" s="652"/>
      <c r="AH285" s="652"/>
      <c r="AI285" s="652"/>
      <c r="AJ285" s="652"/>
      <c r="AK285" s="652"/>
      <c r="AL285" s="652"/>
      <c r="AM285" s="652"/>
    </row>
    <row r="286" spans="1:39" hidden="1" x14ac:dyDescent="0.2">
      <c r="D286" s="698"/>
      <c r="E286" s="698"/>
      <c r="F286" s="652"/>
      <c r="G286" s="652"/>
      <c r="H286" s="652"/>
      <c r="I286" s="652"/>
      <c r="J286" s="652"/>
      <c r="K286" s="652"/>
      <c r="L286" s="652"/>
      <c r="M286" s="652"/>
      <c r="N286" s="652"/>
      <c r="O286" s="652"/>
      <c r="P286" s="652"/>
      <c r="Q286" s="652"/>
      <c r="R286" s="652"/>
      <c r="S286" s="652"/>
      <c r="T286" s="652"/>
      <c r="U286" s="652"/>
      <c r="V286" s="652"/>
      <c r="W286" s="652"/>
      <c r="X286" s="652"/>
      <c r="Y286" s="652"/>
      <c r="Z286" s="652"/>
      <c r="AA286" s="652"/>
      <c r="AB286" s="652"/>
      <c r="AC286" s="652"/>
      <c r="AD286" s="652"/>
      <c r="AE286" s="652"/>
      <c r="AF286" s="652"/>
      <c r="AG286" s="652"/>
      <c r="AH286" s="652"/>
      <c r="AI286" s="652"/>
      <c r="AJ286" s="652"/>
      <c r="AK286" s="652"/>
      <c r="AL286" s="652"/>
      <c r="AM286" s="652"/>
    </row>
    <row r="287" spans="1:39" hidden="1" x14ac:dyDescent="0.2">
      <c r="D287" s="702"/>
      <c r="E287" s="702"/>
      <c r="F287" s="652"/>
      <c r="G287" s="652"/>
      <c r="H287" s="652"/>
      <c r="I287" s="652"/>
      <c r="J287" s="652"/>
      <c r="K287" s="652"/>
      <c r="L287" s="652"/>
      <c r="M287" s="652"/>
      <c r="N287" s="652"/>
      <c r="O287" s="652"/>
      <c r="P287" s="652"/>
      <c r="Q287" s="652"/>
      <c r="R287" s="652"/>
      <c r="S287" s="652"/>
      <c r="T287" s="652"/>
      <c r="U287" s="652"/>
      <c r="V287" s="652"/>
      <c r="W287" s="652"/>
      <c r="X287" s="652"/>
      <c r="Y287" s="652"/>
      <c r="Z287" s="652"/>
      <c r="AA287" s="652"/>
      <c r="AB287" s="652"/>
      <c r="AC287" s="652"/>
      <c r="AD287" s="652"/>
      <c r="AE287" s="652"/>
      <c r="AF287" s="652"/>
      <c r="AG287" s="652"/>
      <c r="AH287" s="652"/>
      <c r="AI287" s="652"/>
      <c r="AJ287" s="652"/>
      <c r="AK287" s="652"/>
      <c r="AL287" s="652"/>
      <c r="AM287" s="652"/>
    </row>
    <row r="288" spans="1:39" hidden="1" x14ac:dyDescent="0.2">
      <c r="D288" s="653"/>
      <c r="E288" s="653"/>
      <c r="F288" s="652"/>
      <c r="G288" s="652"/>
      <c r="H288" s="652"/>
      <c r="I288" s="652"/>
      <c r="J288" s="652"/>
      <c r="K288" s="652"/>
      <c r="L288" s="652"/>
      <c r="M288" s="652"/>
      <c r="N288" s="652"/>
      <c r="O288" s="652"/>
      <c r="P288" s="652"/>
      <c r="Q288" s="652"/>
      <c r="R288" s="652"/>
      <c r="S288" s="652"/>
      <c r="T288" s="652"/>
      <c r="U288" s="652"/>
      <c r="V288" s="652"/>
      <c r="W288" s="703"/>
      <c r="X288" s="652"/>
      <c r="Y288" s="652"/>
      <c r="Z288" s="652"/>
      <c r="AA288" s="652"/>
      <c r="AB288" s="652"/>
      <c r="AC288" s="652"/>
      <c r="AD288" s="652"/>
      <c r="AE288" s="652"/>
      <c r="AF288" s="652"/>
      <c r="AG288" s="652"/>
      <c r="AH288" s="652"/>
      <c r="AI288" s="652"/>
      <c r="AJ288" s="652"/>
      <c r="AK288" s="652"/>
      <c r="AL288" s="652"/>
      <c r="AM288" s="652"/>
    </row>
    <row r="289" spans="1:39" hidden="1" x14ac:dyDescent="0.2">
      <c r="D289" s="653"/>
      <c r="E289" s="653"/>
      <c r="F289" s="652"/>
      <c r="G289" s="652"/>
      <c r="H289" s="652"/>
      <c r="I289" s="652"/>
      <c r="J289" s="652"/>
      <c r="K289" s="652"/>
      <c r="L289" s="652"/>
      <c r="M289" s="652"/>
      <c r="N289" s="652"/>
      <c r="O289" s="652"/>
      <c r="P289" s="652"/>
      <c r="Q289" s="652"/>
      <c r="R289" s="652"/>
      <c r="S289" s="652"/>
      <c r="T289" s="652"/>
      <c r="U289" s="652"/>
      <c r="V289" s="652"/>
      <c r="W289" s="652"/>
      <c r="X289" s="652"/>
      <c r="Y289" s="652"/>
      <c r="Z289" s="652"/>
      <c r="AA289" s="652"/>
      <c r="AB289" s="652"/>
      <c r="AC289" s="652"/>
      <c r="AD289" s="652"/>
      <c r="AE289" s="652"/>
      <c r="AF289" s="652"/>
      <c r="AG289" s="652"/>
      <c r="AH289" s="652"/>
      <c r="AI289" s="652"/>
      <c r="AJ289" s="652"/>
      <c r="AK289" s="652"/>
      <c r="AL289" s="652"/>
      <c r="AM289" s="652"/>
    </row>
    <row r="290" spans="1:39" hidden="1" x14ac:dyDescent="0.2">
      <c r="D290" s="653"/>
      <c r="E290" s="653"/>
      <c r="F290" s="65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c r="AI290" s="652"/>
      <c r="AJ290" s="652"/>
      <c r="AK290" s="652"/>
      <c r="AL290" s="652"/>
      <c r="AM290" s="652"/>
    </row>
    <row r="291" spans="1:39" hidden="1" x14ac:dyDescent="0.2">
      <c r="D291" s="653"/>
      <c r="E291" s="653"/>
      <c r="F291" s="652"/>
      <c r="G291" s="652"/>
      <c r="H291" s="652"/>
      <c r="I291" s="652"/>
      <c r="J291" s="652"/>
      <c r="K291" s="652"/>
      <c r="L291" s="652"/>
      <c r="M291" s="652"/>
      <c r="N291" s="652"/>
      <c r="O291" s="652"/>
      <c r="P291" s="652"/>
      <c r="Q291" s="652"/>
      <c r="R291" s="652"/>
      <c r="S291" s="652"/>
      <c r="T291" s="652"/>
      <c r="U291" s="652"/>
      <c r="V291" s="652"/>
      <c r="W291" s="652"/>
      <c r="X291" s="652"/>
      <c r="Y291" s="652"/>
      <c r="Z291" s="652"/>
      <c r="AA291" s="652"/>
      <c r="AB291" s="652"/>
      <c r="AC291" s="652"/>
      <c r="AD291" s="652"/>
      <c r="AE291" s="652"/>
      <c r="AF291" s="652"/>
      <c r="AG291" s="652"/>
      <c r="AH291" s="652"/>
      <c r="AI291" s="652"/>
      <c r="AJ291" s="652"/>
      <c r="AK291" s="652"/>
      <c r="AL291" s="652"/>
      <c r="AM291" s="652"/>
    </row>
    <row r="292" spans="1:39" hidden="1" x14ac:dyDescent="0.2">
      <c r="D292" s="653"/>
      <c r="E292" s="653"/>
      <c r="F292" s="65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652"/>
      <c r="AF292" s="652"/>
      <c r="AG292" s="652"/>
      <c r="AH292" s="652"/>
      <c r="AI292" s="652"/>
      <c r="AJ292" s="652"/>
      <c r="AK292" s="652"/>
      <c r="AL292" s="652"/>
      <c r="AM292" s="652"/>
    </row>
    <row r="293" spans="1:39" hidden="1" x14ac:dyDescent="0.2">
      <c r="D293" s="653"/>
      <c r="E293" s="653"/>
      <c r="F293" s="652"/>
      <c r="G293" s="652"/>
      <c r="H293" s="652"/>
      <c r="I293" s="652"/>
      <c r="J293" s="652"/>
      <c r="K293" s="652"/>
      <c r="L293" s="652"/>
      <c r="M293" s="652"/>
      <c r="N293" s="652"/>
      <c r="O293" s="652"/>
      <c r="P293" s="652"/>
      <c r="Q293" s="652"/>
      <c r="R293" s="652"/>
      <c r="S293" s="652"/>
      <c r="T293" s="652"/>
      <c r="U293" s="652"/>
      <c r="V293" s="652"/>
      <c r="W293" s="703"/>
      <c r="X293" s="652"/>
      <c r="Y293" s="652"/>
      <c r="Z293" s="652"/>
      <c r="AA293" s="652"/>
      <c r="AB293" s="652"/>
      <c r="AC293" s="652"/>
      <c r="AD293" s="652"/>
      <c r="AE293" s="652"/>
      <c r="AF293" s="652"/>
      <c r="AG293" s="652"/>
      <c r="AH293" s="652"/>
      <c r="AI293" s="652"/>
      <c r="AJ293" s="652"/>
      <c r="AK293" s="652"/>
      <c r="AL293" s="652"/>
      <c r="AM293" s="652"/>
    </row>
    <row r="294" spans="1:39" hidden="1" x14ac:dyDescent="0.2">
      <c r="D294" s="653"/>
      <c r="E294" s="653"/>
      <c r="F294" s="652"/>
      <c r="G294" s="652"/>
      <c r="H294" s="652"/>
      <c r="I294" s="652"/>
      <c r="J294" s="652"/>
      <c r="K294" s="652"/>
      <c r="L294" s="652"/>
      <c r="M294" s="652"/>
      <c r="N294" s="652"/>
      <c r="O294" s="652"/>
      <c r="P294" s="652"/>
      <c r="Q294" s="652"/>
      <c r="R294" s="652"/>
      <c r="S294" s="652"/>
      <c r="T294" s="652"/>
      <c r="U294" s="652"/>
      <c r="V294" s="652"/>
      <c r="W294" s="652"/>
      <c r="X294" s="652"/>
      <c r="Y294" s="652"/>
      <c r="Z294" s="652"/>
      <c r="AA294" s="652"/>
      <c r="AB294" s="652"/>
      <c r="AC294" s="652"/>
      <c r="AD294" s="652"/>
      <c r="AE294" s="652"/>
      <c r="AF294" s="652"/>
      <c r="AG294" s="652"/>
      <c r="AH294" s="652"/>
      <c r="AI294" s="652"/>
      <c r="AJ294" s="652"/>
      <c r="AK294" s="652"/>
      <c r="AL294" s="652"/>
      <c r="AM294" s="652"/>
    </row>
    <row r="295" spans="1:39" hidden="1" x14ac:dyDescent="0.2">
      <c r="D295" s="653"/>
      <c r="E295" s="653"/>
      <c r="F295" s="652"/>
      <c r="G295" s="652"/>
      <c r="H295" s="652"/>
      <c r="I295" s="65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652"/>
      <c r="AF295" s="652"/>
      <c r="AG295" s="652"/>
      <c r="AH295" s="652"/>
      <c r="AI295" s="652"/>
      <c r="AJ295" s="652"/>
      <c r="AK295" s="652"/>
      <c r="AL295" s="652"/>
      <c r="AM295" s="652"/>
    </row>
    <row r="296" spans="1:39" hidden="1" x14ac:dyDescent="0.2">
      <c r="D296" s="653"/>
      <c r="E296" s="653"/>
      <c r="F296" s="652"/>
      <c r="G296" s="652"/>
      <c r="H296" s="652"/>
      <c r="I296" s="652"/>
      <c r="J296" s="652"/>
      <c r="K296" s="652"/>
      <c r="L296" s="652"/>
      <c r="M296" s="652"/>
      <c r="N296" s="652"/>
      <c r="O296" s="652"/>
      <c r="P296" s="652"/>
      <c r="Q296" s="652"/>
      <c r="R296" s="652"/>
      <c r="S296" s="652"/>
      <c r="T296" s="652"/>
      <c r="U296" s="652"/>
      <c r="V296" s="652"/>
      <c r="W296" s="652"/>
      <c r="X296" s="652"/>
      <c r="Y296" s="652"/>
      <c r="Z296" s="652"/>
      <c r="AA296" s="652"/>
      <c r="AB296" s="652"/>
      <c r="AC296" s="652"/>
      <c r="AD296" s="652"/>
      <c r="AE296" s="652"/>
      <c r="AF296" s="652"/>
      <c r="AG296" s="652"/>
      <c r="AH296" s="652"/>
      <c r="AI296" s="652"/>
      <c r="AJ296" s="652"/>
      <c r="AK296" s="652"/>
      <c r="AL296" s="652"/>
      <c r="AM296" s="652"/>
    </row>
    <row r="297" spans="1:39" hidden="1" x14ac:dyDescent="0.2">
      <c r="D297" s="652"/>
      <c r="E297" s="652"/>
      <c r="F297" s="65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652"/>
      <c r="AF297" s="652"/>
      <c r="AG297" s="652"/>
      <c r="AH297" s="652"/>
      <c r="AI297" s="652"/>
      <c r="AJ297" s="652"/>
      <c r="AK297" s="652"/>
      <c r="AL297" s="652"/>
      <c r="AM297" s="652"/>
    </row>
    <row r="299" spans="1:39" x14ac:dyDescent="0.2">
      <c r="A299" s="652"/>
      <c r="B299" s="652"/>
      <c r="C299" s="697" t="s">
        <v>182</v>
      </c>
    </row>
    <row r="300" spans="1:39" x14ac:dyDescent="0.2">
      <c r="A300" s="699">
        <v>1</v>
      </c>
      <c r="B300" s="700" t="str">
        <f t="shared" ref="B300:B310" si="14">IFERROR(INDEX(B$1:B$87,MATCH(A300,A$1:A$87,0)),"")</f>
        <v>Elmo Lageda, Tõnu Piik</v>
      </c>
      <c r="C300" s="711">
        <v>40</v>
      </c>
    </row>
    <row r="301" spans="1:39" x14ac:dyDescent="0.2">
      <c r="A301" s="699">
        <v>2</v>
      </c>
      <c r="B301" s="700" t="str">
        <f t="shared" si="14"/>
        <v>Jaan Sepp, Oskar Sepp</v>
      </c>
      <c r="C301" s="711">
        <v>34</v>
      </c>
    </row>
    <row r="302" spans="1:39" x14ac:dyDescent="0.2">
      <c r="A302" s="699">
        <v>3</v>
      </c>
      <c r="B302" s="700" t="str">
        <f t="shared" si="14"/>
        <v>Aarne Välja, Janek Tarto</v>
      </c>
      <c r="C302" s="711">
        <v>30</v>
      </c>
    </row>
    <row r="303" spans="1:39" x14ac:dyDescent="0.2">
      <c r="A303" s="699">
        <v>4</v>
      </c>
      <c r="B303" s="700" t="str">
        <f t="shared" si="14"/>
        <v>Ivar Viljaste, Kristo Viljaste</v>
      </c>
      <c r="C303" s="711">
        <v>26</v>
      </c>
    </row>
    <row r="304" spans="1:39" x14ac:dyDescent="0.2">
      <c r="A304" s="699">
        <v>5</v>
      </c>
      <c r="B304" s="700" t="str">
        <f t="shared" si="14"/>
        <v>Karla Purgats, Kenneth Muusikus</v>
      </c>
      <c r="C304" s="711">
        <v>24</v>
      </c>
    </row>
    <row r="305" spans="1:3" x14ac:dyDescent="0.2">
      <c r="A305" s="699">
        <v>6</v>
      </c>
      <c r="B305" s="700" t="str">
        <f t="shared" si="14"/>
        <v>Tõnu Kapper, Vladimir Ogneštšikov</v>
      </c>
      <c r="C305" s="711">
        <v>22</v>
      </c>
    </row>
    <row r="306" spans="1:3" x14ac:dyDescent="0.2">
      <c r="A306" s="699">
        <v>7</v>
      </c>
      <c r="B306" s="700" t="str">
        <f t="shared" si="14"/>
        <v>Andres Veski, Svetlana Veski</v>
      </c>
      <c r="C306" s="711">
        <v>20</v>
      </c>
    </row>
    <row r="307" spans="1:3" x14ac:dyDescent="0.2">
      <c r="A307" s="699">
        <v>8</v>
      </c>
      <c r="B307" s="700" t="str">
        <f t="shared" si="14"/>
        <v>Mait Metsla, Matti Vinni</v>
      </c>
      <c r="C307" s="711">
        <v>18</v>
      </c>
    </row>
    <row r="308" spans="1:3" x14ac:dyDescent="0.2">
      <c r="A308" s="699">
        <v>9</v>
      </c>
      <c r="B308" s="700" t="str">
        <f t="shared" si="14"/>
        <v>Johannes Neiland, Urmas Jõeäär</v>
      </c>
      <c r="C308" s="711">
        <v>16</v>
      </c>
    </row>
    <row r="309" spans="1:3" x14ac:dyDescent="0.2">
      <c r="A309" s="699">
        <v>10</v>
      </c>
      <c r="B309" s="700" t="str">
        <f t="shared" si="14"/>
        <v>Oksana Rõndenkova, Oleg Rõndenkov</v>
      </c>
      <c r="C309" s="701">
        <v>14</v>
      </c>
    </row>
    <row r="310" spans="1:3" x14ac:dyDescent="0.2">
      <c r="A310" s="699">
        <v>11</v>
      </c>
      <c r="B310" s="700" t="str">
        <f t="shared" si="14"/>
        <v>Jaan Saar, Klavdia Piik</v>
      </c>
      <c r="C310" s="701">
        <v>12</v>
      </c>
    </row>
  </sheetData>
  <conditionalFormatting sqref="C8:C18">
    <cfRule type="expression" dxfId="1407" priority="18">
      <formula>IF($C8&gt;$E8,TRUE)</formula>
    </cfRule>
  </conditionalFormatting>
  <conditionalFormatting sqref="E8:E18">
    <cfRule type="expression" dxfId="1406" priority="19">
      <formula>IF($C8&lt;$E8,TRUE)</formula>
    </cfRule>
  </conditionalFormatting>
  <conditionalFormatting sqref="K8:K18">
    <cfRule type="expression" dxfId="1405" priority="26">
      <formula>IF($K8&gt;$M8,TRUE)</formula>
    </cfRule>
  </conditionalFormatting>
  <conditionalFormatting sqref="M8:M18">
    <cfRule type="expression" dxfId="1404" priority="27">
      <formula>IF($K8&lt;$M8,TRUE)</formula>
    </cfRule>
  </conditionalFormatting>
  <conditionalFormatting sqref="O8:O18">
    <cfRule type="expression" dxfId="1403" priority="30">
      <formula>IF($O8&gt;$Q8,TRUE)</formula>
    </cfRule>
  </conditionalFormatting>
  <conditionalFormatting sqref="Q8:Q18">
    <cfRule type="expression" dxfId="1402" priority="31">
      <formula>IF($O8&lt;$Q8,TRUE)</formula>
    </cfRule>
  </conditionalFormatting>
  <conditionalFormatting sqref="S8:S18">
    <cfRule type="expression" dxfId="1401" priority="34">
      <formula>IF($S8&gt;$U8,TRUE)</formula>
    </cfRule>
  </conditionalFormatting>
  <conditionalFormatting sqref="U8:U18">
    <cfRule type="expression" dxfId="1400" priority="35">
      <formula>IF($S8&lt;$U8,TRUE)</formula>
    </cfRule>
  </conditionalFormatting>
  <conditionalFormatting sqref="G8:G18">
    <cfRule type="expression" dxfId="1399" priority="22">
      <formula>IF($G8&gt;$I8,TRUE)</formula>
    </cfRule>
  </conditionalFormatting>
  <conditionalFormatting sqref="I8:I18">
    <cfRule type="expression" dxfId="1398" priority="23">
      <formula>IF($G8&lt;$I8,TRUE)</formula>
    </cfRule>
  </conditionalFormatting>
  <conditionalFormatting sqref="F8:F18">
    <cfRule type="containsText" dxfId="1397" priority="9" operator="containsText" text="vaba voor">
      <formula>NOT(ISERROR(SEARCH("vaba voor",F8)))</formula>
    </cfRule>
  </conditionalFormatting>
  <conditionalFormatting sqref="N8:N18">
    <cfRule type="containsText" dxfId="1396" priority="7" operator="containsText" text="vaba voor">
      <formula>NOT(ISERROR(SEARCH("vaba voor",N8)))</formula>
    </cfRule>
  </conditionalFormatting>
  <conditionalFormatting sqref="R8:R18">
    <cfRule type="containsText" dxfId="1395" priority="10" operator="containsText" text="vaba voor">
      <formula>NOT(ISERROR(SEARCH("vaba voor",R8)))</formula>
    </cfRule>
  </conditionalFormatting>
  <conditionalFormatting sqref="V8:V18">
    <cfRule type="containsText" dxfId="1394" priority="6" operator="containsText" text="vaba voor">
      <formula>NOT(ISERROR(SEARCH("vaba voor",V8)))</formula>
    </cfRule>
  </conditionalFormatting>
  <conditionalFormatting sqref="J8:J18">
    <cfRule type="containsText" dxfId="1393" priority="8" operator="containsText" text="vaba voor">
      <formula>NOT(ISERROR(SEARCH("vaba voor",J8)))</formula>
    </cfRule>
  </conditionalFormatting>
  <conditionalFormatting sqref="C8:F18">
    <cfRule type="expression" dxfId="1392" priority="14">
      <formula>IF(AND(ISNUMBER($C8),$C8=$E8),TRUE)</formula>
    </cfRule>
    <cfRule type="expression" dxfId="1391" priority="16">
      <formula>IF($C8&gt;$E8,TRUE)</formula>
    </cfRule>
    <cfRule type="expression" dxfId="1390" priority="17">
      <formula>IF($C8&lt;$E8,TRUE)</formula>
    </cfRule>
  </conditionalFormatting>
  <conditionalFormatting sqref="G8:J18">
    <cfRule type="expression" dxfId="1389" priority="15">
      <formula>IF(AND(ISNUMBER($G8),$G8=$I8),TRUE)</formula>
    </cfRule>
    <cfRule type="expression" dxfId="1388" priority="20">
      <formula>IF($G8&gt;$I8,TRUE)</formula>
    </cfRule>
    <cfRule type="expression" dxfId="1387" priority="21">
      <formula>IF($G8&lt;$I8,TRUE)</formula>
    </cfRule>
  </conditionalFormatting>
  <conditionalFormatting sqref="K8:N18">
    <cfRule type="expression" dxfId="1386" priority="13">
      <formula>IF(AND(ISNUMBER($K8),$K8=$M8),TRUE)</formula>
    </cfRule>
    <cfRule type="expression" dxfId="1385" priority="24">
      <formula>IF($K8&gt;$M8,TRUE)</formula>
    </cfRule>
    <cfRule type="expression" dxfId="1384" priority="25">
      <formula>IF($K8&lt;$M8,TRUE)</formula>
    </cfRule>
  </conditionalFormatting>
  <conditionalFormatting sqref="O8:R18">
    <cfRule type="expression" dxfId="1383" priority="12">
      <formula>IF(AND(ISNUMBER($O8),$O8=$Q8),TRUE)</formula>
    </cfRule>
    <cfRule type="expression" dxfId="1382" priority="28">
      <formula>IF($O8&gt;$Q8,TRUE)</formula>
    </cfRule>
    <cfRule type="expression" dxfId="1381" priority="29">
      <formula>IF($O8&lt;$Q8,TRUE)</formula>
    </cfRule>
  </conditionalFormatting>
  <conditionalFormatting sqref="S8:V18">
    <cfRule type="expression" dxfId="1380" priority="11">
      <formula>IF(AND(ISNUMBER($S8),$S8=$U8),TRUE)</formula>
    </cfRule>
    <cfRule type="expression" dxfId="1379" priority="32">
      <formula>IF($S8&gt;$U8,TRUE)</formula>
    </cfRule>
    <cfRule type="expression" dxfId="1378" priority="33">
      <formula>IF($S8&lt;$U8,TRUE)</formula>
    </cfRule>
  </conditionalFormatting>
  <conditionalFormatting sqref="AF8:AF18 AJ8:AJ18 AL8:AL18">
    <cfRule type="expression" dxfId="1377" priority="1">
      <formula>AND(AE8="",COUNTIF(AF8,"*,*")=0)</formula>
    </cfRule>
  </conditionalFormatting>
  <conditionalFormatting sqref="AH8:AH18">
    <cfRule type="expression" dxfId="1376" priority="2">
      <formula>AND(AG8="",FIND(",",AH8))</formula>
    </cfRule>
    <cfRule type="expression" dxfId="1375" priority="3">
      <formula>AND(AG8="",COUNTIF(AH8,"*,*")=0)</formula>
    </cfRule>
  </conditionalFormatting>
  <conditionalFormatting sqref="A8:A18">
    <cfRule type="duplicateValues" dxfId="1374" priority="196"/>
  </conditionalFormatting>
  <conditionalFormatting sqref="A300:A310">
    <cfRule type="duplicateValues" dxfId="1373" priority="197"/>
  </conditionalFormatting>
  <conditionalFormatting sqref="B300:B310">
    <cfRule type="expression" dxfId="1372" priority="203">
      <formula>A300=3</formula>
    </cfRule>
    <cfRule type="expression" dxfId="1371" priority="204">
      <formula>A300=2</formula>
    </cfRule>
    <cfRule type="expression" dxfId="1370" priority="205">
      <formula>A300=1</formula>
    </cfRule>
    <cfRule type="containsBlanks" dxfId="1369" priority="206">
      <formula>LEN(TRIM(B300))=0</formula>
    </cfRule>
    <cfRule type="duplicateValues" dxfId="1368" priority="207"/>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rowBreaks count="1" manualBreakCount="1">
    <brk id="297"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N307"/>
  <sheetViews>
    <sheetView showGridLines="0" showRowColHeaders="0" zoomScaleNormal="100" workbookViewId="0">
      <pane ySplit="2" topLeftCell="A3" activePane="bottomLeft" state="frozen"/>
      <selection pane="bottomLeft" activeCell="I1" sqref="I1"/>
    </sheetView>
  </sheetViews>
  <sheetFormatPr defaultRowHeight="12.75" x14ac:dyDescent="0.2"/>
  <cols>
    <col min="1" max="1" width="3.28515625" customWidth="1"/>
    <col min="2" max="2" width="58" customWidth="1"/>
    <col min="3" max="9" width="5.28515625" customWidth="1"/>
    <col min="10" max="11" width="4.7109375" customWidth="1"/>
    <col min="12" max="12" width="5" customWidth="1"/>
    <col min="13" max="13" width="5" hidden="1" customWidth="1"/>
    <col min="14" max="14" width="5.5703125" hidden="1" customWidth="1"/>
    <col min="15" max="15" width="5.5703125" customWidth="1"/>
    <col min="16" max="16" width="4.7109375" hidden="1" customWidth="1"/>
    <col min="17" max="17" width="2.28515625" hidden="1" customWidth="1"/>
    <col min="18" max="18" width="11" hidden="1" customWidth="1"/>
    <col min="19" max="19" width="11.5703125" hidden="1" customWidth="1"/>
    <col min="20" max="20" width="5.28515625" hidden="1" customWidth="1"/>
    <col min="29" max="29" width="9.140625" customWidth="1"/>
    <col min="30" max="30" width="9.140625" hidden="1" customWidth="1"/>
    <col min="31" max="31" width="16.5703125" hidden="1" customWidth="1"/>
    <col min="32" max="32" width="9.140625" hidden="1" customWidth="1"/>
    <col min="33" max="33" width="18.28515625" hidden="1" customWidth="1"/>
    <col min="34" max="34" width="9.140625" hidden="1" customWidth="1"/>
    <col min="35" max="35" width="34.42578125" hidden="1" customWidth="1"/>
    <col min="36" max="36" width="9.140625" hidden="1" customWidth="1"/>
    <col min="37" max="37" width="17.28515625" hidden="1" customWidth="1"/>
    <col min="38" max="38" width="9.140625" hidden="1" customWidth="1"/>
    <col min="39" max="39" width="21.85546875" hidden="1" customWidth="1"/>
    <col min="40" max="40" width="0" hidden="1" customWidth="1"/>
  </cols>
  <sheetData>
    <row r="1" spans="1:40" x14ac:dyDescent="0.2">
      <c r="A1" s="742" t="str">
        <f>UPPER((Kalend!E11)&amp;" - "&amp;(Kalend!C11)&amp;" - "&amp;(Kalend!D11))</f>
        <v>3 - VIRU SK 1. LAHTISED MV - TRIO</v>
      </c>
      <c r="C1" s="410" t="str">
        <f>HYPERLINK("#Kalend!I1","Kalender")</f>
        <v>Kalender</v>
      </c>
      <c r="D1" s="410"/>
      <c r="E1" s="654" t="str">
        <f>HYPERLINK("#V!AB1","Reiting")</f>
        <v>Reiting</v>
      </c>
      <c r="F1" s="655"/>
      <c r="L1" s="656"/>
      <c r="M1" s="892"/>
      <c r="N1" s="892"/>
      <c r="O1" s="893"/>
      <c r="P1" s="836" t="s">
        <v>181</v>
      </c>
      <c r="Q1" s="892"/>
      <c r="R1" s="892"/>
      <c r="S1" s="892"/>
      <c r="T1" s="892"/>
      <c r="AD1" s="417" t="s">
        <v>181</v>
      </c>
      <c r="AE1" s="822"/>
      <c r="AF1" s="822"/>
      <c r="AG1" s="822"/>
      <c r="AH1" s="822"/>
      <c r="AI1" s="822"/>
      <c r="AJ1" s="822"/>
      <c r="AK1" s="822"/>
      <c r="AL1" s="822"/>
      <c r="AM1" s="822"/>
      <c r="AN1" s="822"/>
    </row>
    <row r="2" spans="1:40" x14ac:dyDescent="0.2">
      <c r="A2" s="659" t="str">
        <f>"Toimumisaeg: "&amp;(Kalend!A11)&amp;" kell "&amp;(Kalend!B11)</f>
        <v>Toimumisaeg: P, 19.05.2019 kell 11:00</v>
      </c>
      <c r="O2" s="660" t="s">
        <v>358</v>
      </c>
      <c r="AD2" s="659"/>
      <c r="AE2" s="659"/>
      <c r="AF2" s="659"/>
      <c r="AG2" s="659"/>
      <c r="AH2" s="659"/>
      <c r="AI2" s="889"/>
      <c r="AJ2" s="659"/>
      <c r="AK2" s="659"/>
      <c r="AL2" s="659"/>
      <c r="AM2" s="659"/>
      <c r="AN2" s="659"/>
    </row>
    <row r="3" spans="1:40" x14ac:dyDescent="0.2">
      <c r="A3" s="659" t="str">
        <f>"Toimumiskoht: "&amp;(Kalend!F11)</f>
        <v>Toimumiskoht: Voka staadion</v>
      </c>
      <c r="AD3" s="823" t="s">
        <v>362</v>
      </c>
      <c r="AF3" s="659"/>
      <c r="AG3" s="659"/>
      <c r="AH3" s="659"/>
      <c r="AI3" s="659"/>
      <c r="AJ3" s="659"/>
      <c r="AK3" s="659"/>
      <c r="AL3" s="659"/>
      <c r="AM3" s="659"/>
      <c r="AN3" s="659"/>
    </row>
    <row r="4" spans="1:40" x14ac:dyDescent="0.2">
      <c r="A4" s="659" t="str">
        <f>"Korraldaja: "&amp;(Kalend!G11)</f>
        <v>Korraldaja: Johannes Neiland</v>
      </c>
      <c r="AD4" s="824" t="s">
        <v>19</v>
      </c>
      <c r="AE4" s="825"/>
      <c r="AF4" s="825"/>
      <c r="AG4" s="825"/>
      <c r="AH4" s="825"/>
      <c r="AI4" s="825"/>
      <c r="AJ4" s="825"/>
      <c r="AK4" s="825"/>
      <c r="AL4" s="825"/>
      <c r="AM4" s="825"/>
      <c r="AN4" s="825"/>
    </row>
    <row r="5" spans="1:40" x14ac:dyDescent="0.2">
      <c r="R5" s="894" t="s">
        <v>517</v>
      </c>
      <c r="AD5" s="824" t="s">
        <v>364</v>
      </c>
      <c r="AE5" s="826" t="s">
        <v>365</v>
      </c>
      <c r="AF5" s="826"/>
      <c r="AG5" s="826" t="s">
        <v>367</v>
      </c>
      <c r="AH5" s="826"/>
      <c r="AI5" s="826" t="s">
        <v>368</v>
      </c>
      <c r="AJ5" s="676"/>
      <c r="AK5" s="676" t="s">
        <v>515</v>
      </c>
      <c r="AL5" s="676"/>
      <c r="AM5" s="676" t="s">
        <v>516</v>
      </c>
      <c r="AN5" s="890"/>
    </row>
    <row r="6" spans="1:40" x14ac:dyDescent="0.2">
      <c r="A6" s="837" t="s">
        <v>331</v>
      </c>
      <c r="B6" s="838"/>
      <c r="C6" s="839">
        <v>1</v>
      </c>
      <c r="D6" s="839">
        <v>2</v>
      </c>
      <c r="E6" s="839">
        <v>3</v>
      </c>
      <c r="F6" s="839">
        <v>4</v>
      </c>
      <c r="G6" s="839"/>
      <c r="H6" s="839" t="s">
        <v>482</v>
      </c>
      <c r="I6" s="840" t="s">
        <v>454</v>
      </c>
      <c r="J6" s="841" t="s">
        <v>483</v>
      </c>
      <c r="K6" s="842" t="s">
        <v>484</v>
      </c>
      <c r="L6" s="843" t="s">
        <v>485</v>
      </c>
      <c r="M6" s="843" t="s">
        <v>486</v>
      </c>
      <c r="N6" s="844" t="s">
        <v>487</v>
      </c>
      <c r="O6" s="844" t="s">
        <v>487</v>
      </c>
      <c r="P6" s="895" t="s">
        <v>488</v>
      </c>
      <c r="Q6" s="846" t="s">
        <v>312</v>
      </c>
      <c r="R6" s="846" t="b">
        <f>OR(AND(COUNTA(B7:B11)=3,COUNTA(C7:G11)=6),AND(COUNTA(B7:B11)=4,COUNTA(C7:G11)=12),AND(COUNTA(B7:B11)=5,COUNTA(C7:G11)=20))</f>
        <v>1</v>
      </c>
      <c r="S6" s="847" t="s">
        <v>489</v>
      </c>
      <c r="T6" s="848" t="s">
        <v>490</v>
      </c>
      <c r="AD6" s="824" t="s">
        <v>376</v>
      </c>
      <c r="AE6" s="825"/>
      <c r="AF6" s="825"/>
      <c r="AG6" s="684"/>
      <c r="AH6" s="684"/>
      <c r="AI6" s="684"/>
      <c r="AJ6" s="684"/>
      <c r="AK6" s="684"/>
      <c r="AL6" s="684"/>
      <c r="AM6" s="684"/>
      <c r="AN6" s="684"/>
    </row>
    <row r="7" spans="1:40" x14ac:dyDescent="0.2">
      <c r="A7" s="837">
        <v>1</v>
      </c>
      <c r="B7" s="849" t="s">
        <v>492</v>
      </c>
      <c r="C7" s="850"/>
      <c r="D7" s="852">
        <v>13</v>
      </c>
      <c r="E7" s="852">
        <v>13</v>
      </c>
      <c r="F7" s="852">
        <v>13</v>
      </c>
      <c r="G7" s="852"/>
      <c r="H7" s="853" t="str">
        <f>(IF(D7-C8&gt;0,1)+IF(E7-C9&gt;0,1)+IF(F7-C10&gt;0,1)+IF(G7-C11&gt;0,1))&amp;"-"&amp;(IF(D7-C8&lt;0,1)+IF(E7-C9&lt;0,1)+IF(F7-C10&lt;0,1)+IF(G7-C11&lt;0,1))</f>
        <v>3-0</v>
      </c>
      <c r="I7" s="852" t="str">
        <f>IF(AND(B7&lt;&gt;"",R$6=TRUE),A$6&amp;RANK(S7,S$7:S$11,0)," ")</f>
        <v>A1</v>
      </c>
      <c r="J7" s="854">
        <f>IF(AND(Q7=1,Q8=1,D7&gt;C8),1)+IF(AND(Q7=1,Q9=1,E7&gt;C9),1)+IF(AND(Q7=1,Q10=1,F7&gt;C10),1)+IF(AND(Q7=1,Q11=1,G7&gt;C11),1)+IF(AND(Q7=2,Q8=2,D7&gt;C8),1)+IF(AND(Q7=2,Q9=2,E7&gt;C9),1)+IF(AND(Q7=2,Q10=2,F7&gt;C10),1)+IF(AND(Q7=2,Q11=2,G7&gt;C11),1)+IF(AND(Q7=3,Q8=3,D7&gt;C8),1)+IF(AND(Q7=3,Q9=3,E7&gt;C9),1)+IF(AND(Q7=3,Q10=3,F7&gt;C10),1)+IF(AND(Q7=3,Q11=3,G7&gt;C11),1)</f>
        <v>0</v>
      </c>
      <c r="K7" s="855">
        <f>SUM(AND(T7=T8,D7&gt;C8),AND(T7=T9,E7&gt;C9),AND(T7=T10,F7&gt;C10),AND(T7=T11,G7&gt;C11))</f>
        <v>0</v>
      </c>
      <c r="L7" s="856">
        <f>IF(AND(Q7=1,Q8=1),D7-C8)+IF(AND(Q7=1,Q9=1),E7-C9)+IF(AND(Q7=1,Q10=1),F7-C10)+IF(AND(Q7=1,Q11=1),G7-C11)+IF(AND(Q7=2,Q8=2),D7-C8)+IF(AND(Q7=2,Q9=2),E7-C9)+IF(AND(Q7=2,Q10=2),F7-C10)+IF(AND(Q7=2,Q11=2),G7-C11)+IF(AND(Q7=3,Q8=3),D7-C8)+IF(AND(Q7=3,Q9=3),E7-C9)+IF(AND(Q7=3,Q10=3),F7-C10)+IF(AND(Q7=3,Q11=3),G7-C11)+IF(AND(Q7=4,Q8=4),D7-C8)+IF(AND(Q7=4,Q9=4),E7-C9)+IF(AND(Q7=4,Q10=4),F7-C10)+IF(AND(Q7=4,Q11=4),G7-C11)</f>
        <v>0</v>
      </c>
      <c r="M7" s="857">
        <f>SUM(AND(R7=R8,D7&gt;C8),AND(R7=R9,E7&gt;C9),AND(R7=R10,F7&gt;C10),AND(R7=R11,G7&gt;C11))</f>
        <v>0</v>
      </c>
      <c r="N7" s="858" t="str">
        <f>SUM(C7:G7)&amp;"-"&amp;SUM(C7:C11)</f>
        <v>39-17</v>
      </c>
      <c r="O7" s="859">
        <f>D7+E7+F7+G7-C8-C9-C10-C11</f>
        <v>22</v>
      </c>
      <c r="P7" s="860">
        <f>SUM(C7:G7,C7:C11)/SUM(C7:C11)</f>
        <v>3.2941176470588234</v>
      </c>
      <c r="Q7" s="861">
        <f>VALUE(LEFT(H7,1))</f>
        <v>3</v>
      </c>
      <c r="R7" s="862">
        <f>Q7*100000+J7*10000+K7*1000+100*L7</f>
        <v>300000</v>
      </c>
      <c r="S7" s="896">
        <f>R7+M7*0.1+IF(ISNONTEXT(B7),0,0.01)+0.0001*O7</f>
        <v>300000.0122</v>
      </c>
      <c r="T7" s="864" t="str">
        <f>Q7&amp;J7</f>
        <v>30</v>
      </c>
      <c r="AD7" s="676">
        <f ca="1">SUM(AF7:AN7)</f>
        <v>868</v>
      </c>
      <c r="AE7" s="829" t="str">
        <f>IFERROR(LEFT($B7,(FIND(",",$B7,1)-1)),"")</f>
        <v>Jaan Sepp</v>
      </c>
      <c r="AF7" s="830">
        <f ca="1">IFERROR(INDEX(Reit!$I:$I,MATCH(AE7,Reit!$F:$F,0)),"")</f>
        <v>310</v>
      </c>
      <c r="AG7" s="829" t="str">
        <f>IFERROR(MID($B7,FIND("^",SUBSTITUTE($B7,", ","^",1))+2,FIND("^",SUBSTITUTE($B7,", ","^",2))-FIND("^",SUBSTITUTE($B7,", ","^",1))-2),"")</f>
        <v>Mait Metsla</v>
      </c>
      <c r="AH7" s="830">
        <f ca="1">IFERROR(INDEX(Reit!$I:$I,MATCH(AG7,Reit!$F:$F,0)),"")</f>
        <v>228</v>
      </c>
      <c r="AI7" s="829" t="str">
        <f>IFERROR(MID($B7,FIND(", ",$B7,FIND(", ",$B7,FIND(", ",$B7))+1)+2,30000),"")</f>
        <v>Oskar Sepp</v>
      </c>
      <c r="AJ7" s="830">
        <f ca="1">IFERROR(INDEX(Reit!$I:$I,MATCH(AI7,Reit!$F:$F,0)),"")</f>
        <v>330</v>
      </c>
      <c r="AK7" s="891" t="str">
        <f t="shared" ref="AK7:AK17" si="0">IFERROR(MID($B7,FIND(", ",$B7,FIND(", ",$B7)+1)+2,FIND(", ",$B7,FIND(", ",$B7,FIND(", ",$B7)+1)+1)-FIND(", ",$B7,FIND(", ",$B7)+1)-2),"")</f>
        <v/>
      </c>
      <c r="AL7" s="830" t="str">
        <f>IFERROR(INDEX(Reit!$I:$I,MATCH(AK7,Reit!$F:$F,0)),"")</f>
        <v/>
      </c>
      <c r="AM7" s="829" t="str">
        <f>IFERROR(MID($B7,FIND(", ",$B7,FIND(", ",$B7,FIND(", ",$B7)+1)+1)+2,30000),"")</f>
        <v/>
      </c>
      <c r="AN7" s="830" t="str">
        <f>IFERROR(INDEX(Reit!$I:$I,MATCH(AM7,Reit!$F:$F,0)),"")</f>
        <v/>
      </c>
    </row>
    <row r="8" spans="1:40" x14ac:dyDescent="0.2">
      <c r="A8" s="837">
        <v>2</v>
      </c>
      <c r="B8" s="865" t="s">
        <v>518</v>
      </c>
      <c r="C8" s="852">
        <v>11</v>
      </c>
      <c r="D8" s="850"/>
      <c r="E8" s="852">
        <v>13</v>
      </c>
      <c r="F8" s="852">
        <v>13</v>
      </c>
      <c r="G8" s="852"/>
      <c r="H8" s="853" t="str">
        <f>(IF(C8-D7&gt;0,1)+IF(E8-D9&gt;0,1)+IF(F8-D10&gt;0,1)+IF(G8-D11&gt;0,1))&amp;"-"&amp;(IF(C8-D7&lt;0,1)+IF(E8-D9&lt;0,1)+IF(F8-D10&lt;0,1)+IF(G8-D11&lt;0,1))</f>
        <v>2-1</v>
      </c>
      <c r="I8" s="852" t="str">
        <f>IF(AND(B8&lt;&gt;"",R$6=TRUE),A$6&amp;RANK(S8,S$7:S$11,0)," ")</f>
        <v>A2</v>
      </c>
      <c r="J8" s="866">
        <f>IF(AND(Q8=1,Q7=1,C8&gt;D7),1)+IF(AND(Q8=1,Q9=1,E8&gt;D9),1)+IF(AND(Q8=1,Q10=1,F8&gt;D10),1)+IF(AND(Q8=1,Q11=1,G8&gt;D11),1)+IF(AND(Q8=2,Q7=2,C8&gt;D7),1)+IF(AND(Q8=2,Q9=2,E8&gt;D9),1)+IF(AND(Q8=2,Q10=2,F8&gt;D10),1)+IF(AND(Q8=2,Q11=2,G8&gt;D11),1)+IF(AND(Q8=3,Q7=3,C8&gt;D7),1)+IF(AND(Q8=3,Q9=3,E8&gt;D9),1)+IF(AND(Q8=3,Q10=3,F8&gt;D10),1)+IF(AND(Q8=3,Q11=3,G8&gt;D11),1)</f>
        <v>0</v>
      </c>
      <c r="K8" s="857">
        <f>SUM(AND(T8=T7,C8&gt;D7),AND(T8=T9,E8&gt;D9),AND(T8=T10,F8&gt;D10),AND(T8=T11,G8&gt;D11))</f>
        <v>0</v>
      </c>
      <c r="L8" s="867">
        <f>IF(AND(Q8=1,Q7=1),C8-D7)+IF(AND(Q8=1,Q9=1),E8-D9)+IF(AND(Q8=1,Q10=1),F8-D10)+IF(AND(Q8=1,Q11=1),G8-D11)+IF(AND(Q8=2,Q7=2),C8-D7)+IF(AND(Q8=2,Q9=2),E8-D9)+IF(AND(Q8=2,Q10=2),F8-D10)+IF(AND(Q8=2,Q11=2),G8-D11)+IF(AND(Q8=3,Q7=3),C8-D7)+IF(AND(Q8=3,Q9=3),E8-D9)+IF(AND(Q8=3,Q10=3),F8-D10)+IF(AND(Q8=3,Q11=3),G8-D11)+IF(AND(Q8=4,Q7=4),C8-D7)+IF(AND(Q8=4,Q9=4),E8-D9)+IF(AND(Q8=4,Q10=4),F8-D10)+IF(AND(Q8=4,Q11=4),G8-D11)</f>
        <v>0</v>
      </c>
      <c r="M8" s="857">
        <f>SUM(AND(R8=R7,C8&gt;D7),AND(R8=R9,E8&gt;D9),AND(R8=R10,F8&gt;D10),AND(R8=R11,G8&gt;D11))</f>
        <v>0</v>
      </c>
      <c r="N8" s="858" t="str">
        <f>SUM(C8:G8)&amp;"-"&amp;SUM(D7:D11)</f>
        <v>37-25</v>
      </c>
      <c r="O8" s="859">
        <f>C8+E8+F8+G8-D7-D9-D10-D11</f>
        <v>12</v>
      </c>
      <c r="P8" s="860">
        <f>SUM(C8:G8,D7:D11)/SUM(D7:D11)</f>
        <v>2.48</v>
      </c>
      <c r="Q8" s="868">
        <f>VALUE(LEFT(H8,1))</f>
        <v>2</v>
      </c>
      <c r="R8" s="862">
        <f>Q8*100000+J8*10000+K8*1000+100*L8</f>
        <v>200000</v>
      </c>
      <c r="S8" s="896">
        <f>R8+M8*0.1+IF(ISNONTEXT(B8),0,0.01)+0.0001*O8</f>
        <v>200000.01120000001</v>
      </c>
      <c r="T8" s="864" t="str">
        <f>Q8&amp;J8</f>
        <v>20</v>
      </c>
      <c r="AD8" s="676">
        <f ca="1">SUM(AF8:AN8)</f>
        <v>605</v>
      </c>
      <c r="AE8" s="829" t="str">
        <f t="shared" ref="AE8:AE17" si="1">IFERROR(LEFT($B8,(FIND(",",$B8,1)-1)),"")</f>
        <v>Kenneth Muusikus</v>
      </c>
      <c r="AF8" s="830">
        <f ca="1">IFERROR(INDEX(Reit!$I:$I,MATCH(AE8,Reit!$F:$F,0)),"")</f>
        <v>258</v>
      </c>
      <c r="AG8" s="829" t="str">
        <f t="shared" ref="AG8:AG17" si="2">IFERROR(MID($B8,FIND("^",SUBSTITUTE($B8,", ","^",1))+2,FIND("^",SUBSTITUTE($B8,", ","^",2))-FIND("^",SUBSTITUTE($B8,", ","^",1))-2),"")</f>
        <v>Oksana Rõndenkova</v>
      </c>
      <c r="AH8" s="830">
        <f ca="1">IFERROR(INDEX(Reit!$I:$I,MATCH(AG8,Reit!$F:$F,0)),"")</f>
        <v>89</v>
      </c>
      <c r="AI8" s="829" t="str">
        <f t="shared" ref="AI8:AI17" si="3">IFERROR(MID($B8,FIND(", ",$B8,FIND(", ",$B8,FIND(", ",$B8))+1)+2,30000),"")</f>
        <v>Oleg Rõndenkov</v>
      </c>
      <c r="AJ8" s="830">
        <f ca="1">IFERROR(INDEX(Reit!$I:$I,MATCH(AI8,Reit!$F:$F,0)),"")</f>
        <v>258</v>
      </c>
      <c r="AK8" s="891" t="str">
        <f t="shared" si="0"/>
        <v/>
      </c>
      <c r="AL8" s="830" t="str">
        <f>IFERROR(INDEX(Reit!$I:$I,MATCH(AK8,Reit!$F:$F,0)),"")</f>
        <v/>
      </c>
      <c r="AM8" s="829" t="str">
        <f t="shared" ref="AM8:AM17" si="4">IFERROR(MID($B8,FIND(", ",$B8,FIND(", ",$B8,FIND(", ",$B8)+1)+1)+2,30000),"")</f>
        <v/>
      </c>
      <c r="AN8" s="830" t="str">
        <f>IFERROR(INDEX(Reit!$I:$I,MATCH(AM8,Reit!$F:$F,0)),"")</f>
        <v/>
      </c>
    </row>
    <row r="9" spans="1:40" x14ac:dyDescent="0.2">
      <c r="A9" s="837">
        <v>3</v>
      </c>
      <c r="B9" s="865" t="s">
        <v>494</v>
      </c>
      <c r="C9" s="852">
        <v>1</v>
      </c>
      <c r="D9" s="869">
        <v>6</v>
      </c>
      <c r="E9" s="850"/>
      <c r="F9" s="852">
        <v>6</v>
      </c>
      <c r="G9" s="852"/>
      <c r="H9" s="853" t="str">
        <f>(IF(C9-E7&gt;0,1)+IF(D9-E8&gt;0,1)+IF(F9-E10&gt;0,1)+IF(G9-E11&gt;0,1))&amp;"-"&amp;(IF(C9-E7&lt;0,1)+IF(D9-E8&lt;0,1)+IF(F9-E10&lt;0,1)+IF(G9-E11&lt;0,1))</f>
        <v>0-3</v>
      </c>
      <c r="I9" s="852" t="str">
        <f>IF(AND(B9&lt;&gt;"",R$6=TRUE),A$6&amp;RANK(S9,S$7:S$11,0)," ")</f>
        <v>A4</v>
      </c>
      <c r="J9" s="866">
        <f>IF(AND(Q9=1,Q7=1,C9&gt;E7),1)+IF(AND(Q9=1,Q8=1,D9&gt;E8),1)+IF(AND(Q9=1,Q10=1,F9&gt;E10),1)+IF(AND(Q9=1,Q11=1,G9&gt;E11),1)+IF(AND(Q9=2,Q7=2,C9&gt;E7),1)+IF(AND(Q9=2,Q8=2,D9&gt;E8),1)+IF(AND(Q9=2,Q10=2,F9&gt;E10),1)+IF(AND(Q9=2,Q11=2,G9&gt;E11),1)+IF(AND(Q9=3,Q7=3,C9&gt;E7),1)+IF(AND(Q9=3,Q8=3,D9&gt;E8),1)+IF(AND(Q9=3,Q10=3,F9&gt;E10),1)+IF(AND(Q9=3,Q11=3,G9&gt;E11),1)</f>
        <v>0</v>
      </c>
      <c r="K9" s="857">
        <f>SUM(AND(T9=T7,C9&gt;E7),AND(T9=T8,D9&gt;E8),AND(T9=T10,F9&gt;E10),AND(T9=T11,G9&gt;E11))</f>
        <v>0</v>
      </c>
      <c r="L9" s="867">
        <f>IF(AND(Q9=1,Q7=1),C9-E7)+IF(AND(Q9=1,Q8=1),D9-E8)+IF(AND(Q9=1,Q10=1),F9-E10)+IF(AND(Q9=1,Q11=1),G9-E11)+IF(AND(Q9=2,Q7=2),C9-E7)+IF(AND(Q9=2,Q8=2),D9-E8)+IF(AND(Q9=2,Q10=2),F9-E10)+IF(AND(Q9=2,Q11=2),G9-E11)+IF(AND(Q9=3,Q7=3),C9-E7)+IF(AND(Q9=3,Q8=3),D9-E8)+IF(AND(Q9=3,Q10=3),F9-E10)+IF(AND(Q9=3,Q11=3),G9-E11)+IF(AND(Q9=4,Q7=4),C9-E7)+IF(AND(Q9=4,Q8=4),D9-E8)+IF(AND(Q9=4,Q10=4),F9-E10)+IF(AND(Q9=4,Q11=4),G9-E11)</f>
        <v>0</v>
      </c>
      <c r="M9" s="857">
        <f>SUM(AND(R9=R7,C9&gt;E7),AND(R9=R8,D9&gt;E8),AND(R9=R10,F9&gt;E10),AND(R9=R11,G9&gt;E11))</f>
        <v>0</v>
      </c>
      <c r="N9" s="858" t="str">
        <f>SUM(C9:G9)&amp;"-"&amp;SUM(E7:E11)</f>
        <v>13-39</v>
      </c>
      <c r="O9" s="859">
        <f>C9+D9+F9+G9-E7-E8-E10-E11</f>
        <v>-26</v>
      </c>
      <c r="P9" s="860">
        <f>SUM(C9:G9,E7:E11)/SUM(E7:E11)</f>
        <v>1.3333333333333333</v>
      </c>
      <c r="Q9" s="868">
        <f>VALUE(LEFT(H9,1))</f>
        <v>0</v>
      </c>
      <c r="R9" s="862">
        <f>Q9*100000+J9*10000+K9*1000+100*L9</f>
        <v>0</v>
      </c>
      <c r="S9" s="896">
        <f>R9+M9*0.1+IF(ISNONTEXT(B9),0,0.01)+0.0001*O9</f>
        <v>7.4000000000000003E-3</v>
      </c>
      <c r="T9" s="864" t="str">
        <f>Q9&amp;J9</f>
        <v>00</v>
      </c>
      <c r="AD9" s="676">
        <f ca="1">SUM(AF9:AN9)</f>
        <v>236</v>
      </c>
      <c r="AE9" s="829" t="str">
        <f t="shared" si="1"/>
        <v>Argo Sepp</v>
      </c>
      <c r="AF9" s="830">
        <f ca="1">IFERROR(INDEX(Reit!$I:$I,MATCH(AE9,Reit!$F:$F,0)),"")</f>
        <v>132</v>
      </c>
      <c r="AG9" s="829" t="str">
        <f t="shared" si="2"/>
        <v>Ljudmila Varendi</v>
      </c>
      <c r="AH9" s="830">
        <f ca="1">IFERROR(INDEX(Reit!$I:$I,MATCH(AG9,Reit!$F:$F,0)),"")</f>
        <v>52</v>
      </c>
      <c r="AI9" s="829" t="str">
        <f t="shared" si="3"/>
        <v>Viktor Švarõgin</v>
      </c>
      <c r="AJ9" s="830">
        <f ca="1">IFERROR(INDEX(Reit!$I:$I,MATCH(AI9,Reit!$F:$F,0)),"")</f>
        <v>52</v>
      </c>
      <c r="AK9" s="891" t="str">
        <f t="shared" si="0"/>
        <v/>
      </c>
      <c r="AL9" s="830" t="str">
        <f>IFERROR(INDEX(Reit!$I:$I,MATCH(AK9,Reit!$F:$F,0)),"")</f>
        <v/>
      </c>
      <c r="AM9" s="829" t="str">
        <f t="shared" si="4"/>
        <v/>
      </c>
      <c r="AN9" s="830" t="str">
        <f>IFERROR(INDEX(Reit!$I:$I,MATCH(AM9,Reit!$F:$F,0)),"")</f>
        <v/>
      </c>
    </row>
    <row r="10" spans="1:40" x14ac:dyDescent="0.2">
      <c r="A10" s="837">
        <v>4</v>
      </c>
      <c r="B10" s="870" t="s">
        <v>519</v>
      </c>
      <c r="C10" s="852">
        <v>5</v>
      </c>
      <c r="D10" s="869">
        <v>6</v>
      </c>
      <c r="E10" s="852">
        <v>13</v>
      </c>
      <c r="F10" s="850"/>
      <c r="G10" s="897"/>
      <c r="H10" s="853" t="str">
        <f>(IF(C10-F7&gt;0,1)+IF(D10-F8&gt;0,1)+IF(E10-F9&gt;0,1)+IF(G10-F11&gt;0,1))&amp;"-"&amp;(IF(C10-F7&lt;0,1)+IF(D10-F8&lt;0,1)+IF(E10-F9&lt;0,1)+IF(G10-F11&lt;0,1))</f>
        <v>1-2</v>
      </c>
      <c r="I10" s="852" t="str">
        <f>IF(AND(B10&lt;&gt;"",R$6=TRUE),A$6&amp;RANK(S10,S$7:S$11,0)," ")</f>
        <v>A3</v>
      </c>
      <c r="J10" s="866">
        <f>IF(AND(Q10=1,Q7=1,C10&gt;F7),1)+IF(AND(Q10=1,Q8=1,D10&gt;F8),1)+IF(AND(Q10=1,Q9=1,E10&gt;F9),1)+IF(AND(Q10=1,Q11=1,G10&gt;F11),1)+IF(AND(Q10=2,Q7=2,C10&gt;F7),1)+IF(AND(Q10=2,Q8=2,D10&gt;F8),1)+IF(AND(Q10=2,Q9=2,E10&gt;F9),1)+IF(AND(Q10=2,Q11=2,G10&gt;F11),1)+IF(AND(Q10=3,Q7=3,C10&gt;F7),1)+IF(AND(Q10=3,Q8=3,D10&gt;F8),1)+IF(AND(Q10=3,Q9=3,E10&gt;F9),1)+IF(AND(Q10=3,Q11=3,G10&gt;F11),1)</f>
        <v>0</v>
      </c>
      <c r="K10" s="857">
        <f>SUM(AND(T10=T7,C10&gt;F7),AND(T10=T8,D10&gt;F8),AND(T10=T9,E10&gt;F9),AND(T10=T11,G10&gt;F11))</f>
        <v>0</v>
      </c>
      <c r="L10" s="867">
        <f>IF(AND(Q10=1,Q7=1),C10-F7)+IF(AND(Q10=1,Q8=1),D10-F8)+IF(AND(Q10=1,Q9=1),E10-F9)+IF(AND(Q10=1,Q11=1),G10-F11)+IF(AND(Q10=2,Q7=2),C10-F7)+IF(AND(Q10=2,Q8=2),D10-F8)+IF(AND(Q10=2,Q9=2),E10-F9)+IF(AND(Q10=2,Q11=2),G10-F11)+IF(AND(Q10=3,Q7=3),C10-F7)+IF(AND(Q10=3,Q8=3),D10-F8)+IF(AND(Q10=3,Q9=3),E10-F9)+IF(AND(Q10=3,Q11=3),G10-F11)+IF(AND(Q10=4,Q7=4),C10-F7)+IF(AND(Q10=4,Q8=4),D10-F8)+IF(AND(Q10=4,Q9=4),E10-F9)+IF(AND(Q10=4,Q11=4),G10-F11)</f>
        <v>0</v>
      </c>
      <c r="M10" s="857">
        <f>SUM(AND(R10=R7,C10&gt;F7),AND(R10=R8,D10&gt;F8),AND(R10=R9,E10&gt;F9),AND(R10=R11,G10&gt;F11))</f>
        <v>0</v>
      </c>
      <c r="N10" s="858" t="str">
        <f>SUM(C10:G10)&amp;"-"&amp;SUM(F7:F11)</f>
        <v>24-32</v>
      </c>
      <c r="O10" s="859">
        <f>C10+D10+E10+G10-F7-F8-F9-F11</f>
        <v>-8</v>
      </c>
      <c r="P10" s="860">
        <f>SUM(C10:G10,F7:F11)/SUM(F7:F11)</f>
        <v>1.75</v>
      </c>
      <c r="Q10" s="868">
        <f>VALUE(LEFT(H10,1))</f>
        <v>1</v>
      </c>
      <c r="R10" s="862">
        <f>Q10*100000+J10*10000+K10*1000+100*L10</f>
        <v>100000</v>
      </c>
      <c r="S10" s="896">
        <f>R10+M10*0.1+IF(ISNONTEXT(B10),0,0.01)+0.0001*O10</f>
        <v>100000.0092</v>
      </c>
      <c r="T10" s="864" t="str">
        <f>Q10&amp;J10</f>
        <v>10</v>
      </c>
      <c r="AD10" s="676">
        <f ca="1">SUM(AF10:AN10)</f>
        <v>316</v>
      </c>
      <c r="AE10" s="829" t="str">
        <f t="shared" si="1"/>
        <v>Henri Mitt</v>
      </c>
      <c r="AF10" s="830">
        <f ca="1">IFERROR(INDEX(Reit!$I:$I,MATCH(AE10,Reit!$F:$F,0)),"")</f>
        <v>116</v>
      </c>
      <c r="AG10" s="829" t="str">
        <f t="shared" si="2"/>
        <v>Johannes Neiland</v>
      </c>
      <c r="AH10" s="830">
        <f ca="1">IFERROR(INDEX(Reit!$I:$I,MATCH(AG10,Reit!$F:$F,0)),"")</f>
        <v>86</v>
      </c>
      <c r="AI10" s="829" t="str">
        <f t="shared" si="3"/>
        <v>Kaspar Mänd, Sandra Laura Nõmmeloo</v>
      </c>
      <c r="AJ10" s="830" t="str">
        <f>IFERROR(INDEX(Reit!$I:$I,MATCH(AI10,Reit!$F:$F,0)),"")</f>
        <v/>
      </c>
      <c r="AK10" s="891" t="str">
        <f t="shared" si="0"/>
        <v>Kaspar Mänd</v>
      </c>
      <c r="AL10" s="830">
        <f ca="1">IFERROR(INDEX(Reit!$I:$I,MATCH(AK10,Reit!$F:$F,0)),"")</f>
        <v>57</v>
      </c>
      <c r="AM10" s="829" t="str">
        <f t="shared" si="4"/>
        <v>Sandra Laura Nõmmeloo</v>
      </c>
      <c r="AN10" s="830">
        <f ca="1">IFERROR(INDEX(Reit!$I:$I,MATCH(AM10,Reit!$F:$F,0)),"")</f>
        <v>57</v>
      </c>
    </row>
    <row r="11" spans="1:40" hidden="1" x14ac:dyDescent="0.2">
      <c r="A11" s="837"/>
      <c r="B11" s="870"/>
      <c r="C11" s="852"/>
      <c r="D11" s="852"/>
      <c r="E11" s="852"/>
      <c r="F11" s="852"/>
      <c r="G11" s="850"/>
      <c r="H11" s="853" t="str">
        <f>(IF(C11-G7&gt;0,1)+IF(D11-G8&gt;0,1)+IF(E11-G9&gt;0,1)+IF(F11-G10&gt;0,1))&amp;"-"&amp;(IF(C11-G7&lt;0,1)+IF(D11-G8&lt;0,1)+IF(E11-G9&lt;0,1)+IF(F11-G10&lt;0,1))</f>
        <v>0-0</v>
      </c>
      <c r="I11" s="852" t="str">
        <f>IF(AND(B11&lt;&gt;"",R$6=TRUE),A$6&amp;RANK(S11,S$7:S$11,0)," ")</f>
        <v xml:space="preserve"> </v>
      </c>
      <c r="J11" s="866">
        <f>IF(AND(Q11=1,Q7=1,C11&gt;G7),1)+IF(AND(Q11=1,Q8=1,D11&gt;G8),1)+IF(AND(Q11=1,Q9=1,E11&gt;G9),1)+IF(AND(Q11=1,Q10=1,F11&gt;G10),1)+IF(AND(Q11=2,Q7=2,C11&gt;G7),1)+IF(AND(Q11=2,Q8=2,D11&gt;G8),1)+IF(AND(Q11=2,Q9=2,E11&gt;G9),1)+IF(AND(Q11=2,Q10=2,F11&gt;G10),1)+IF(AND(Q11=3,Q7=3,C11&gt;G7),1)+IF(AND(Q11=3,Q8=3,D11&gt;G8),1)+IF(AND(Q11=3,Q9=3,E11&gt;G9),1)+IF(AND(Q11=3,Q10=3,F11&gt;G10),1)</f>
        <v>0</v>
      </c>
      <c r="K11" s="857">
        <f>SUM(AND(T11=T7,C11&gt;G7),AND(T11=T8,D11&gt;G8),AND(T11=T9,E11&gt;G9),AND(T11=T10,F11&gt;G10))</f>
        <v>0</v>
      </c>
      <c r="L11" s="867">
        <f>IF(AND(Q11=1,Q7=1),C11-G7)+IF(AND(Q11=1,Q8=1),D11-G8)+IF(AND(Q11=1,Q9=1),E11-G9)+IF(AND(Q11=1,Q10=1),F11-G10)+IF(AND(Q11=2,Q7=2),C11-G7)+IF(AND(Q11=2,Q8=2),D11-G8)+IF(AND(Q11=2,Q9=2),E11-G9)+IF(AND(Q11=2,Q10=2),F11-G10)+IF(AND(Q11=3,Q7=3),C11-G7)+IF(AND(Q11=3,Q8=3),D11-G8)+IF(AND(Q11=3,Q9=3),E11-G9)+IF(AND(Q11=3,Q10=3),F11-G10)+IF(AND(Q11=4,Q7=4),C11-G7)+IF(AND(Q11=4,Q8=4),D11-G8)+IF(AND(Q11=4,Q9=4),E11-G9)+IF(AND(Q11=4,Q10=4),F11-G10)</f>
        <v>0</v>
      </c>
      <c r="M11" s="857">
        <f>SUM(AND(R11=R7,C11&gt;G7),AND(R11=R8,D11&gt;G8),AND(R11=R9,E11&gt;G9),AND(R11=R10,F11&gt;G10))</f>
        <v>0</v>
      </c>
      <c r="N11" s="858" t="str">
        <f>SUM(C11:G11)&amp;"-"&amp;SUM(G7:G11)</f>
        <v>0-0</v>
      </c>
      <c r="O11" s="859">
        <f>C11+D11+E11+F11-G7-G8-G9-G10</f>
        <v>0</v>
      </c>
      <c r="P11" s="860" t="e">
        <f>SUM(C11:G11,G7:G11)/SUM(G7:G11)</f>
        <v>#DIV/0!</v>
      </c>
      <c r="Q11" s="868">
        <f>VALUE(LEFT(H11,1))</f>
        <v>0</v>
      </c>
      <c r="R11" s="862">
        <f>Q11*100000+J11*10000+K11*1000+100*L11</f>
        <v>0</v>
      </c>
      <c r="S11" s="896">
        <f>R11+M11*0.1+IF(ISNONTEXT(B11),0,0.01)+0.0001*O11</f>
        <v>0</v>
      </c>
      <c r="T11" s="864"/>
      <c r="AD11" s="676"/>
      <c r="AE11" s="829"/>
      <c r="AF11" s="830"/>
      <c r="AG11" s="829"/>
      <c r="AH11" s="830"/>
      <c r="AI11" s="829"/>
      <c r="AJ11" s="830"/>
      <c r="AK11" s="891"/>
      <c r="AL11" s="830"/>
      <c r="AM11" s="829"/>
      <c r="AN11" s="830"/>
    </row>
    <row r="12" spans="1:40" x14ac:dyDescent="0.2">
      <c r="A12" s="898"/>
      <c r="B12" s="899"/>
      <c r="C12" s="900"/>
      <c r="D12" s="901"/>
      <c r="E12" s="900"/>
      <c r="F12" s="902"/>
      <c r="G12" s="903"/>
      <c r="H12" s="904"/>
      <c r="I12" s="655"/>
      <c r="J12" s="880"/>
      <c r="K12" s="880"/>
      <c r="L12" s="880"/>
      <c r="M12" s="880"/>
      <c r="N12" s="880"/>
      <c r="O12" s="880"/>
      <c r="P12" s="880"/>
      <c r="Q12" s="880"/>
      <c r="R12" s="894" t="s">
        <v>517</v>
      </c>
      <c r="S12" s="880"/>
      <c r="T12" s="880"/>
      <c r="AD12" s="676"/>
      <c r="AE12" s="829"/>
      <c r="AF12" s="830"/>
      <c r="AG12" s="829"/>
      <c r="AH12" s="830"/>
      <c r="AI12" s="829"/>
      <c r="AJ12" s="830"/>
      <c r="AK12" s="891"/>
      <c r="AL12" s="830"/>
      <c r="AM12" s="829"/>
      <c r="AN12" s="830"/>
    </row>
    <row r="13" spans="1:40" x14ac:dyDescent="0.2">
      <c r="A13" s="837" t="s">
        <v>332</v>
      </c>
      <c r="B13" s="838"/>
      <c r="C13" s="839">
        <v>1</v>
      </c>
      <c r="D13" s="839">
        <v>2</v>
      </c>
      <c r="E13" s="839">
        <v>3</v>
      </c>
      <c r="F13" s="839">
        <v>4</v>
      </c>
      <c r="G13" s="839"/>
      <c r="H13" s="840" t="s">
        <v>482</v>
      </c>
      <c r="I13" s="840" t="s">
        <v>454</v>
      </c>
      <c r="J13" s="841" t="s">
        <v>483</v>
      </c>
      <c r="K13" s="842" t="s">
        <v>484</v>
      </c>
      <c r="L13" s="843" t="s">
        <v>485</v>
      </c>
      <c r="M13" s="843" t="s">
        <v>486</v>
      </c>
      <c r="N13" s="844" t="s">
        <v>487</v>
      </c>
      <c r="O13" s="844" t="s">
        <v>487</v>
      </c>
      <c r="P13" s="895" t="s">
        <v>488</v>
      </c>
      <c r="Q13" s="846" t="s">
        <v>312</v>
      </c>
      <c r="R13" s="846" t="b">
        <f>OR(AND(COUNTA(B14:B18)=3,COUNTA(C14:G18)=6),AND(COUNTA(B14:B18)=4,COUNTA(C14:G18)=12),AND(COUNTA(B14:B18)=5,COUNTA(C14:G18)=20))</f>
        <v>1</v>
      </c>
      <c r="S13" s="847" t="s">
        <v>489</v>
      </c>
      <c r="T13" s="848" t="s">
        <v>490</v>
      </c>
      <c r="AD13" s="676"/>
      <c r="AE13" s="829"/>
      <c r="AF13" s="830"/>
      <c r="AG13" s="829"/>
      <c r="AH13" s="830"/>
      <c r="AI13" s="829"/>
      <c r="AJ13" s="830"/>
      <c r="AK13" s="891"/>
      <c r="AL13" s="830"/>
      <c r="AM13" s="829"/>
      <c r="AN13" s="830"/>
    </row>
    <row r="14" spans="1:40" x14ac:dyDescent="0.2">
      <c r="A14" s="837">
        <v>1</v>
      </c>
      <c r="B14" s="820" t="s">
        <v>520</v>
      </c>
      <c r="C14" s="850"/>
      <c r="D14" s="852">
        <v>13</v>
      </c>
      <c r="E14" s="852">
        <v>13</v>
      </c>
      <c r="F14" s="852">
        <v>13</v>
      </c>
      <c r="G14" s="852"/>
      <c r="H14" s="853" t="str">
        <f>(IF(D14-C15&gt;0,1)+IF(E14-C16&gt;0,1)+IF(F14-C17&gt;0,1)+IF(G14-C18&gt;0,1))&amp;"-"&amp;(IF(D14-C15&lt;0,1)+IF(E14-C16&lt;0,1)+IF(F14-C17&lt;0,1)+IF(G14-C18&lt;0,1))</f>
        <v>3-0</v>
      </c>
      <c r="I14" s="852" t="str">
        <f>IF(AND(B14&lt;&gt;"",R$6=TRUE),A$13&amp;RANK(S14,S$14:S$18,0)," ")</f>
        <v>B1</v>
      </c>
      <c r="J14" s="854">
        <f>IF(AND(Q14=1,Q15=1,D14&gt;C15),1)+IF(AND(Q14=1,Q16=1,E14&gt;C16),1)+IF(AND(Q14=1,Q17=1,F14&gt;C17),1)+IF(AND(Q14=1,Q18=1,G14&gt;C18),1)+IF(AND(Q14=2,Q15=2,D14&gt;C15),1)+IF(AND(Q14=2,Q16=2,E14&gt;C16),1)+IF(AND(Q14=2,Q17=2,F14&gt;C17),1)+IF(AND(Q14=2,Q18=2,G14&gt;C18),1)+IF(AND(Q14=3,Q15=3,D14&gt;C15),1)+IF(AND(Q14=3,Q16=3,E14&gt;C16),1)+IF(AND(Q14=3,Q17=3,F14&gt;C17),1)+IF(AND(Q14=3,Q18=3,G14&gt;C18),1)</f>
        <v>0</v>
      </c>
      <c r="K14" s="855">
        <f>SUM(AND(T14=T15,D14&gt;C15),AND(T14=T16,E14&gt;C16),AND(T14=T17,F14&gt;C17),AND(T14=T18,G14&gt;C18))</f>
        <v>0</v>
      </c>
      <c r="L14" s="856">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0</v>
      </c>
      <c r="M14" s="857">
        <f>SUM(AND(R14=R15,D14&gt;C15),AND(R14=R16,E14&gt;C16),AND(R14=R17,F14&gt;C17),AND(R14=R18,G14&gt;C18))</f>
        <v>0</v>
      </c>
      <c r="N14" s="858" t="str">
        <f>SUM(C14:G14)&amp;"-"&amp;SUM(C14:C18)</f>
        <v>39-22</v>
      </c>
      <c r="O14" s="859">
        <f>D14+E14+F14+G14-C15-C16-C17-C18</f>
        <v>17</v>
      </c>
      <c r="P14" s="860">
        <f>SUM(C14:G14,C14:C18)/SUM(C14:C18)</f>
        <v>2.7727272727272729</v>
      </c>
      <c r="Q14" s="861">
        <f>VALUE(LEFT(H14,1))</f>
        <v>3</v>
      </c>
      <c r="R14" s="862">
        <f>Q14*100000+J14*10000+K14*1000+100*L14</f>
        <v>300000</v>
      </c>
      <c r="S14" s="896">
        <f>R14+M14*0.1+IF(ISNONTEXT(B14),0,0.01)+0.0001*O14</f>
        <v>300000.01170000003</v>
      </c>
      <c r="T14" s="864" t="str">
        <f>Q14&amp;J14</f>
        <v>30</v>
      </c>
      <c r="AD14" s="676">
        <f ca="1">SUM(AF14:AN14)</f>
        <v>676</v>
      </c>
      <c r="AE14" s="829" t="str">
        <f t="shared" si="1"/>
        <v>Andrei Grintšak</v>
      </c>
      <c r="AF14" s="830">
        <f ca="1">IFERROR(INDEX(Reit!$I:$I,MATCH(AE14,Reit!$F:$F,0)),"")</f>
        <v>168</v>
      </c>
      <c r="AG14" s="829" t="str">
        <f t="shared" si="2"/>
        <v>Elmo Lageda</v>
      </c>
      <c r="AH14" s="830">
        <f ca="1">IFERROR(INDEX(Reit!$I:$I,MATCH(AG14,Reit!$F:$F,0)),"")</f>
        <v>258</v>
      </c>
      <c r="AI14" s="829" t="str">
        <f t="shared" si="3"/>
        <v>Tõnu Piik</v>
      </c>
      <c r="AJ14" s="830">
        <f ca="1">IFERROR(INDEX(Reit!$I:$I,MATCH(AI14,Reit!$F:$F,0)),"")</f>
        <v>250</v>
      </c>
      <c r="AK14" s="891" t="str">
        <f t="shared" si="0"/>
        <v/>
      </c>
      <c r="AL14" s="830" t="str">
        <f>IFERROR(INDEX(Reit!$I:$I,MATCH(AK14,Reit!$F:$F,0)),"")</f>
        <v/>
      </c>
      <c r="AM14" s="829" t="str">
        <f t="shared" si="4"/>
        <v/>
      </c>
      <c r="AN14" s="830" t="str">
        <f>IFERROR(INDEX(Reit!$I:$I,MATCH(AM14,Reit!$F:$F,0)),"")</f>
        <v/>
      </c>
    </row>
    <row r="15" spans="1:40" x14ac:dyDescent="0.2">
      <c r="A15" s="837">
        <v>2</v>
      </c>
      <c r="B15" s="849" t="s">
        <v>495</v>
      </c>
      <c r="C15" s="852">
        <v>11</v>
      </c>
      <c r="D15" s="850"/>
      <c r="E15" s="852">
        <v>13</v>
      </c>
      <c r="F15" s="852">
        <v>13</v>
      </c>
      <c r="G15" s="852"/>
      <c r="H15" s="853" t="str">
        <f>(IF(C15-D14&gt;0,1)+IF(E15-D16&gt;0,1)+IF(F15-D17&gt;0,1)+IF(G15-D18&gt;0,1))&amp;"-"&amp;(IF(C15-D14&lt;0,1)+IF(E15-D16&lt;0,1)+IF(F15-D17&lt;0,1)+IF(G15-D18&lt;0,1))</f>
        <v>2-1</v>
      </c>
      <c r="I15" s="852" t="str">
        <f>IF(AND(B15&lt;&gt;"",R$6=TRUE),A$13&amp;RANK(S15,S$14:S$18,0)," ")</f>
        <v>B2</v>
      </c>
      <c r="J15" s="866">
        <f>IF(AND(Q15=1,Q14=1,C15&gt;D14),1)+IF(AND(Q15=1,Q16=1,E15&gt;D16),1)+IF(AND(Q15=1,Q17=1,F15&gt;D17),1)+IF(AND(Q15=1,Q18=1,G15&gt;D18),1)+IF(AND(Q15=2,Q14=2,C15&gt;D14),1)+IF(AND(Q15=2,Q16=2,E15&gt;D16),1)+IF(AND(Q15=2,Q17=2,F15&gt;D17),1)+IF(AND(Q15=2,Q18=2,G15&gt;D18),1)+IF(AND(Q15=3,Q14=3,C15&gt;D14),1)+IF(AND(Q15=3,Q16=3,E15&gt;D16),1)+IF(AND(Q15=3,Q17=3,F15&gt;D17),1)+IF(AND(Q15=3,Q18=3,G15&gt;D18),1)</f>
        <v>0</v>
      </c>
      <c r="K15" s="857">
        <f>SUM(AND(T15=T14,C15&gt;D14),AND(T15=T16,E15&gt;D16),AND(T15=T17,F15&gt;D17),AND(T15=T18,G15&gt;D18))</f>
        <v>0</v>
      </c>
      <c r="L15" s="867">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0</v>
      </c>
      <c r="M15" s="857">
        <f>SUM(AND(R15=R14,C15&gt;D14),AND(R15=R16,E15&gt;D16),AND(R15=R17,F15&gt;D17),AND(R15=R18,G15&gt;D18))</f>
        <v>0</v>
      </c>
      <c r="N15" s="858" t="str">
        <f>SUM(C15:G15)&amp;"-"&amp;SUM(D14:D18)</f>
        <v>37-35</v>
      </c>
      <c r="O15" s="859">
        <f>C15+E15+F15+G15-D14-D16-D17-D18</f>
        <v>2</v>
      </c>
      <c r="P15" s="860">
        <f>SUM(C15:G15,D14:D18)/SUM(D14:D18)</f>
        <v>2.0571428571428569</v>
      </c>
      <c r="Q15" s="868">
        <f>VALUE(LEFT(H15,1))</f>
        <v>2</v>
      </c>
      <c r="R15" s="862">
        <f>Q15*100000+J15*10000+K15*1000+100*L15</f>
        <v>200000</v>
      </c>
      <c r="S15" s="896">
        <f>R15+M15*0.1+IF(ISNONTEXT(B15),0,0.01)+0.0001*O15</f>
        <v>200000.01020000002</v>
      </c>
      <c r="T15" s="864" t="str">
        <f>Q15&amp;J15</f>
        <v>20</v>
      </c>
      <c r="AD15" s="676">
        <f ca="1">SUM(AF15:AN15)</f>
        <v>472</v>
      </c>
      <c r="AE15" s="829" t="str">
        <f t="shared" si="1"/>
        <v>Boriss Klubov</v>
      </c>
      <c r="AF15" s="830">
        <f ca="1">IFERROR(INDEX(Reit!$I:$I,MATCH(AE15,Reit!$F:$F,0)),"")</f>
        <v>190</v>
      </c>
      <c r="AG15" s="829" t="str">
        <f t="shared" si="2"/>
        <v>Tõnu Kapper</v>
      </c>
      <c r="AH15" s="830">
        <f ca="1">IFERROR(INDEX(Reit!$I:$I,MATCH(AG15,Reit!$F:$F,0)),"")</f>
        <v>158</v>
      </c>
      <c r="AI15" s="829" t="str">
        <f t="shared" si="3"/>
        <v>Vladimir Ogneštšikov</v>
      </c>
      <c r="AJ15" s="830">
        <f ca="1">IFERROR(INDEX(Reit!$I:$I,MATCH(AI15,Reit!$F:$F,0)),"")</f>
        <v>124</v>
      </c>
      <c r="AK15" s="891" t="str">
        <f t="shared" si="0"/>
        <v/>
      </c>
      <c r="AL15" s="830" t="str">
        <f>IFERROR(INDEX(Reit!$I:$I,MATCH(AK15,Reit!$F:$F,0)),"")</f>
        <v/>
      </c>
      <c r="AM15" s="829" t="str">
        <f t="shared" si="4"/>
        <v/>
      </c>
      <c r="AN15" s="830" t="str">
        <f>IFERROR(INDEX(Reit!$I:$I,MATCH(AM15,Reit!$F:$F,0)),"")</f>
        <v/>
      </c>
    </row>
    <row r="16" spans="1:40" x14ac:dyDescent="0.2">
      <c r="A16" s="837">
        <v>3</v>
      </c>
      <c r="B16" s="865" t="s">
        <v>521</v>
      </c>
      <c r="C16" s="852">
        <v>5</v>
      </c>
      <c r="D16" s="869">
        <v>11</v>
      </c>
      <c r="E16" s="850"/>
      <c r="F16" s="852">
        <v>8</v>
      </c>
      <c r="G16" s="852"/>
      <c r="H16" s="853" t="str">
        <f>(IF(C16-E14&gt;0,1)+IF(D16-E15&gt;0,1)+IF(F16-E17&gt;0,1)+IF(G16-E18&gt;0,1))&amp;"-"&amp;(IF(C16-E14&lt;0,1)+IF(D16-E15&lt;0,1)+IF(F16-E17&lt;0,1)+IF(G16-E18&lt;0,1))</f>
        <v>0-3</v>
      </c>
      <c r="I16" s="852" t="str">
        <f>IF(AND(B16&lt;&gt;"",R$6=TRUE),A$13&amp;RANK(S16,S$14:S$18,0)," ")</f>
        <v>B4</v>
      </c>
      <c r="J16" s="866">
        <f>IF(AND(Q16=1,Q14=1,C16&gt;E14),1)+IF(AND(Q16=1,Q15=1,D16&gt;E15),1)+IF(AND(Q16=1,Q17=1,F16&gt;E17),1)+IF(AND(Q16=1,Q18=1,G16&gt;E18),1)+IF(AND(Q16=2,Q14=2,C16&gt;E14),1)+IF(AND(Q16=2,Q15=2,D16&gt;E15),1)+IF(AND(Q16=2,Q17=2,F16&gt;E17),1)+IF(AND(Q16=2,Q18=2,G16&gt;E18),1)+IF(AND(Q16=3,Q14=3,C16&gt;E14),1)+IF(AND(Q16=3,Q15=3,D16&gt;E15),1)+IF(AND(Q16=3,Q17=3,F16&gt;E17),1)+IF(AND(Q16=3,Q18=3,G16&gt;E18),1)</f>
        <v>0</v>
      </c>
      <c r="K16" s="857">
        <f>SUM(AND(T16=T14,C16&gt;E14),AND(T16=T15,D16&gt;E15),AND(T16=T17,F16&gt;E17),AND(T16=T18,G16&gt;E18))</f>
        <v>0</v>
      </c>
      <c r="L16" s="867">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0</v>
      </c>
      <c r="M16" s="857">
        <f>SUM(AND(R16=R14,C16&gt;E14),AND(R16=R15,D16&gt;E15),AND(R16=R17,F16&gt;E17),AND(R16=R18,G16&gt;E18))</f>
        <v>0</v>
      </c>
      <c r="N16" s="858" t="str">
        <f>SUM(C16:G16)&amp;"-"&amp;SUM(E14:E18)</f>
        <v>24-39</v>
      </c>
      <c r="O16" s="859">
        <f>C16+D16+F16+G16-E14-E15-E17-E18</f>
        <v>-15</v>
      </c>
      <c r="P16" s="860">
        <f>SUM(C16:G16,E14:E18)/SUM(E14:E18)</f>
        <v>1.6153846153846154</v>
      </c>
      <c r="Q16" s="868">
        <f>VALUE(LEFT(H16,1))</f>
        <v>0</v>
      </c>
      <c r="R16" s="862">
        <f>Q16*100000+J16*10000+K16*1000+100*L16</f>
        <v>0</v>
      </c>
      <c r="S16" s="896">
        <f>R16+M16*0.1+IF(ISNONTEXT(B16),0,0.01)+0.0001*O16</f>
        <v>8.5000000000000006E-3</v>
      </c>
      <c r="T16" s="864" t="str">
        <f>Q16&amp;J16</f>
        <v>00</v>
      </c>
      <c r="AD16" s="676">
        <f ca="1">SUM(AF16:AN16)</f>
        <v>328</v>
      </c>
      <c r="AE16" s="829" t="str">
        <f t="shared" si="1"/>
        <v>Enn Tokman</v>
      </c>
      <c r="AF16" s="830">
        <f ca="1">IFERROR(INDEX(Reit!$I:$I,MATCH(AE16,Reit!$F:$F,0)),"")</f>
        <v>80</v>
      </c>
      <c r="AG16" s="829" t="str">
        <f t="shared" si="2"/>
        <v>Janek Tarto</v>
      </c>
      <c r="AH16" s="830">
        <f ca="1">IFERROR(INDEX(Reit!$I:$I,MATCH(AG16,Reit!$F:$F,0)),"")</f>
        <v>224</v>
      </c>
      <c r="AI16" s="829" t="str">
        <f t="shared" si="3"/>
        <v>Veiko Parts</v>
      </c>
      <c r="AJ16" s="830">
        <f ca="1">IFERROR(INDEX(Reit!$I:$I,MATCH(AI16,Reit!$F:$F,0)),"")</f>
        <v>24</v>
      </c>
      <c r="AK16" s="891" t="str">
        <f t="shared" si="0"/>
        <v/>
      </c>
      <c r="AL16" s="830" t="str">
        <f>IFERROR(INDEX(Reit!$I:$I,MATCH(AK16,Reit!$F:$F,0)),"")</f>
        <v/>
      </c>
      <c r="AM16" s="829" t="str">
        <f t="shared" si="4"/>
        <v/>
      </c>
      <c r="AN16" s="830" t="str">
        <f>IFERROR(INDEX(Reit!$I:$I,MATCH(AM16,Reit!$F:$F,0)),"")</f>
        <v/>
      </c>
    </row>
    <row r="17" spans="1:40" x14ac:dyDescent="0.2">
      <c r="A17" s="837">
        <v>4</v>
      </c>
      <c r="B17" s="870" t="s">
        <v>522</v>
      </c>
      <c r="C17" s="852">
        <v>6</v>
      </c>
      <c r="D17" s="869">
        <v>11</v>
      </c>
      <c r="E17" s="852">
        <v>13</v>
      </c>
      <c r="F17" s="850"/>
      <c r="G17" s="897"/>
      <c r="H17" s="853" t="str">
        <f>(IF(C17-F14&gt;0,1)+IF(D17-F15&gt;0,1)+IF(E17-F16&gt;0,1)+IF(G17-F18&gt;0,1))&amp;"-"&amp;(IF(C17-F14&lt;0,1)+IF(D17-F15&lt;0,1)+IF(E17-F16&lt;0,1)+IF(G17-F18&lt;0,1))</f>
        <v>1-2</v>
      </c>
      <c r="I17" s="852" t="str">
        <f>IF(AND(B17&lt;&gt;"",R$6=TRUE),A$13&amp;RANK(S17,S$14:S$18,0)," ")</f>
        <v>B3</v>
      </c>
      <c r="J17" s="866">
        <f>IF(AND(Q17=1,Q14=1,C17&gt;F14),1)+IF(AND(Q17=1,Q15=1,D17&gt;F15),1)+IF(AND(Q17=1,Q16=1,E17&gt;F16),1)+IF(AND(Q17=1,Q18=1,G17&gt;F18),1)+IF(AND(Q17=2,Q14=2,C17&gt;F14),1)+IF(AND(Q17=2,Q15=2,D17&gt;F15),1)+IF(AND(Q17=2,Q16=2,E17&gt;F16),1)+IF(AND(Q17=2,Q18=2,G17&gt;F18),1)+IF(AND(Q17=3,Q14=3,C17&gt;F14),1)+IF(AND(Q17=3,Q15=3,D17&gt;F15),1)+IF(AND(Q17=3,Q16=3,E17&gt;F16),1)+IF(AND(Q17=3,Q18=3,G17&gt;F18),1)</f>
        <v>0</v>
      </c>
      <c r="K17" s="857">
        <f>SUM(AND(T17=T14,C17&gt;F14),AND(T17=T15,D17&gt;F15),AND(T17=T16,E17&gt;F16),AND(T17=T18,G17&gt;F18))</f>
        <v>0</v>
      </c>
      <c r="L17" s="867">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0</v>
      </c>
      <c r="M17" s="857">
        <f>SUM(AND(R17=R14,C17&gt;F14),AND(R17=R15,D17&gt;F15),AND(R17=R16,E17&gt;F16),AND(R17=R18,G17&gt;F18))</f>
        <v>0</v>
      </c>
      <c r="N17" s="858" t="str">
        <f>SUM(C17:G17)&amp;"-"&amp;SUM(F14:F18)</f>
        <v>30-34</v>
      </c>
      <c r="O17" s="859">
        <f>C17+D17+E17+G17-F14-F15-F16-F18</f>
        <v>-4</v>
      </c>
      <c r="P17" s="860">
        <f>SUM(C17:G17,F14:F18)/SUM(F14:F18)</f>
        <v>1.8823529411764706</v>
      </c>
      <c r="Q17" s="868">
        <f>VALUE(LEFT(H17,1))</f>
        <v>1</v>
      </c>
      <c r="R17" s="862">
        <f>Q17*100000+J17*10000+K17*1000+100*L17</f>
        <v>100000</v>
      </c>
      <c r="S17" s="896">
        <f>R17+M17*0.1+IF(ISNONTEXT(B17),0,0.01)+0.0001*O17</f>
        <v>100000.00959999999</v>
      </c>
      <c r="T17" s="864" t="str">
        <f>Q17&amp;J17</f>
        <v>10</v>
      </c>
      <c r="AD17" s="676">
        <f ca="1">SUM(AF17:AN17)</f>
        <v>376</v>
      </c>
      <c r="AE17" s="829" t="str">
        <f t="shared" si="1"/>
        <v>Andres Veski</v>
      </c>
      <c r="AF17" s="830">
        <f ca="1">IFERROR(INDEX(Reit!$I:$I,MATCH(AE17,Reit!$F:$F,0)),"")</f>
        <v>234</v>
      </c>
      <c r="AG17" s="829" t="str">
        <f t="shared" si="2"/>
        <v>Karla Purgats</v>
      </c>
      <c r="AH17" s="830">
        <f ca="1">IFERROR(INDEX(Reit!$I:$I,MATCH(AG17,Reit!$F:$F,0)),"")</f>
        <v>74</v>
      </c>
      <c r="AI17" s="829" t="str">
        <f t="shared" si="3"/>
        <v>Tõnis Anton</v>
      </c>
      <c r="AJ17" s="830">
        <f ca="1">IFERROR(INDEX(Reit!$I:$I,MATCH(AI17,Reit!$F:$F,0)),"")</f>
        <v>68</v>
      </c>
      <c r="AK17" s="891" t="str">
        <f t="shared" si="0"/>
        <v/>
      </c>
      <c r="AL17" s="830" t="str">
        <f>IFERROR(INDEX(Reit!$I:$I,MATCH(AK17,Reit!$F:$F,0)),"")</f>
        <v/>
      </c>
      <c r="AM17" s="829" t="str">
        <f t="shared" si="4"/>
        <v/>
      </c>
      <c r="AN17" s="830" t="str">
        <f>IFERROR(INDEX(Reit!$I:$I,MATCH(AM17,Reit!$F:$F,0)),"")</f>
        <v/>
      </c>
    </row>
    <row r="18" spans="1:40" hidden="1" x14ac:dyDescent="0.2">
      <c r="A18" s="837"/>
      <c r="B18" s="870"/>
      <c r="C18" s="852"/>
      <c r="D18" s="852"/>
      <c r="E18" s="852"/>
      <c r="F18" s="852"/>
      <c r="G18" s="850"/>
      <c r="H18" s="853" t="str">
        <f>(IF(C18-G14&gt;0,1)+IF(D18-G15&gt;0,1)+IF(E18-G16&gt;0,1)+IF(F18-G17&gt;0,1))&amp;"-"&amp;(IF(C18-G14&lt;0,1)+IF(D18-G15&lt;0,1)+IF(E18-G16&lt;0,1)+IF(F18-G17&lt;0,1))</f>
        <v>0-0</v>
      </c>
      <c r="I18" s="852" t="str">
        <f>IF(AND(B18&lt;&gt;"",R$6=TRUE),A$13&amp;RANK(S18,S$14:S$18,0)," ")</f>
        <v xml:space="preserve"> </v>
      </c>
      <c r="J18" s="866">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857">
        <f>SUM(AND(T18=T14,C18&gt;G14),AND(T18=T15,D18&gt;G15),AND(T18=T16,E18&gt;G16),AND(T18=T17,F18&gt;G17))</f>
        <v>0</v>
      </c>
      <c r="L18" s="867">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857">
        <f>SUM(AND(R18=R14,C18&gt;G14),AND(R18=R15,D18&gt;G15),AND(R18=R16,E18&gt;G16),AND(R18=R17,F18&gt;G17))</f>
        <v>0</v>
      </c>
      <c r="N18" s="858" t="str">
        <f>SUM(C18:G18)&amp;"-"&amp;SUM(G14:G18)</f>
        <v>0-0</v>
      </c>
      <c r="O18" s="859">
        <f>C18+D18+E18+F18-G14-G15-G16-G17</f>
        <v>0</v>
      </c>
      <c r="P18" s="860" t="e">
        <f>SUM(C18:G18,G14:G18)/SUM(G14:G18)</f>
        <v>#DIV/0!</v>
      </c>
      <c r="Q18" s="868">
        <f>VALUE(LEFT(H18,1))</f>
        <v>0</v>
      </c>
      <c r="R18" s="862">
        <f>Q18*100000+J18*10000+K18*1000+100*L18</f>
        <v>0</v>
      </c>
      <c r="S18" s="896">
        <f>R18+M18*0.1+IF(ISNONTEXT(B18),0,0.01)+0.0001*O18</f>
        <v>0</v>
      </c>
      <c r="T18" s="864" t="str">
        <f>Q18&amp;J18</f>
        <v>00</v>
      </c>
    </row>
    <row r="19" spans="1:40" hidden="1" x14ac:dyDescent="0.2"/>
    <row r="20" spans="1:40" hidden="1" x14ac:dyDescent="0.2">
      <c r="B20" s="905" t="s">
        <v>369</v>
      </c>
      <c r="C20" s="906" t="s">
        <v>506</v>
      </c>
      <c r="D20" s="907"/>
      <c r="E20" s="903"/>
      <c r="G20" s="903"/>
    </row>
    <row r="21" spans="1:40" hidden="1" x14ac:dyDescent="0.2">
      <c r="B21" s="905" t="s">
        <v>370</v>
      </c>
      <c r="C21" s="906" t="s">
        <v>509</v>
      </c>
      <c r="D21" s="903"/>
      <c r="E21" s="903"/>
      <c r="G21" s="903"/>
    </row>
    <row r="22" spans="1:40" hidden="1" x14ac:dyDescent="0.2">
      <c r="B22" s="905" t="s">
        <v>371</v>
      </c>
      <c r="C22" s="906" t="s">
        <v>504</v>
      </c>
      <c r="D22" s="903"/>
      <c r="E22" s="903"/>
      <c r="G22" s="903"/>
    </row>
    <row r="23" spans="1:40" x14ac:dyDescent="0.2">
      <c r="B23" s="903"/>
      <c r="C23" s="903"/>
      <c r="D23" s="903"/>
      <c r="E23" s="903"/>
      <c r="F23" s="903"/>
      <c r="G23" s="903"/>
    </row>
    <row r="24" spans="1:40" x14ac:dyDescent="0.2">
      <c r="B24" s="905" t="s">
        <v>369</v>
      </c>
      <c r="C24" s="906" t="s">
        <v>503</v>
      </c>
      <c r="D24" s="906" t="s">
        <v>504</v>
      </c>
      <c r="E24" s="903"/>
      <c r="F24" s="903"/>
      <c r="G24" s="903"/>
    </row>
    <row r="25" spans="1:40" x14ac:dyDescent="0.2">
      <c r="B25" s="905" t="s">
        <v>370</v>
      </c>
      <c r="C25" s="906" t="s">
        <v>506</v>
      </c>
      <c r="D25" s="906" t="s">
        <v>501</v>
      </c>
      <c r="E25" s="903"/>
      <c r="F25" s="903"/>
      <c r="G25" s="903"/>
    </row>
    <row r="26" spans="1:40" x14ac:dyDescent="0.2">
      <c r="B26" s="905" t="s">
        <v>371</v>
      </c>
      <c r="C26" s="906" t="s">
        <v>509</v>
      </c>
      <c r="D26" s="906" t="s">
        <v>499</v>
      </c>
      <c r="E26" s="903"/>
      <c r="F26" s="903"/>
      <c r="G26" s="903"/>
    </row>
    <row r="27" spans="1:40" hidden="1" x14ac:dyDescent="0.2">
      <c r="B27" s="908"/>
      <c r="C27" s="902"/>
      <c r="D27" s="902"/>
      <c r="E27" s="903"/>
      <c r="F27" s="903"/>
      <c r="G27" s="903"/>
    </row>
    <row r="28" spans="1:40" hidden="1" x14ac:dyDescent="0.2">
      <c r="B28" s="905" t="s">
        <v>369</v>
      </c>
      <c r="C28" s="906" t="s">
        <v>500</v>
      </c>
      <c r="D28" s="906" t="s">
        <v>501</v>
      </c>
      <c r="E28" s="903"/>
    </row>
    <row r="29" spans="1:40" hidden="1" x14ac:dyDescent="0.2">
      <c r="B29" s="905" t="s">
        <v>370</v>
      </c>
      <c r="C29" s="906" t="s">
        <v>503</v>
      </c>
      <c r="D29" s="906" t="s">
        <v>504</v>
      </c>
      <c r="E29" s="903"/>
    </row>
    <row r="30" spans="1:40" hidden="1" x14ac:dyDescent="0.2">
      <c r="B30" s="905" t="s">
        <v>371</v>
      </c>
      <c r="C30" s="906" t="s">
        <v>506</v>
      </c>
      <c r="D30" s="906" t="s">
        <v>508</v>
      </c>
      <c r="E30" s="903"/>
    </row>
    <row r="31" spans="1:40" hidden="1" x14ac:dyDescent="0.2">
      <c r="B31" s="905" t="s">
        <v>372</v>
      </c>
      <c r="C31" s="879" t="s">
        <v>509</v>
      </c>
      <c r="D31" s="906" t="s">
        <v>510</v>
      </c>
      <c r="E31" s="903"/>
    </row>
    <row r="32" spans="1:40" hidden="1" x14ac:dyDescent="0.2">
      <c r="B32" s="905" t="s">
        <v>373</v>
      </c>
      <c r="C32" s="906" t="s">
        <v>498</v>
      </c>
      <c r="D32" s="906" t="s">
        <v>499</v>
      </c>
      <c r="E32" s="903"/>
    </row>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7" hidden="1" x14ac:dyDescent="0.2"/>
    <row r="98" spans="1:7" hidden="1" x14ac:dyDescent="0.2"/>
    <row r="100" spans="1:7" x14ac:dyDescent="0.2">
      <c r="A100" s="909" t="s">
        <v>523</v>
      </c>
      <c r="B100" s="429"/>
      <c r="C100" s="429"/>
      <c r="D100" s="429"/>
      <c r="E100" s="429"/>
      <c r="F100" s="429"/>
      <c r="G100" s="429"/>
    </row>
    <row r="101" spans="1:7" x14ac:dyDescent="0.2">
      <c r="A101" s="429"/>
      <c r="B101" s="429"/>
      <c r="C101" s="429"/>
      <c r="D101" s="429"/>
      <c r="E101" s="429"/>
      <c r="F101" s="429"/>
      <c r="G101" s="429"/>
    </row>
    <row r="102" spans="1:7" x14ac:dyDescent="0.2">
      <c r="A102" s="910" t="s">
        <v>524</v>
      </c>
      <c r="B102" s="911" t="str">
        <f>IF(A102="-","-",IFERROR(INDEX(B$1:B$100,MATCH(A102,I$1:I$100,0)),""))</f>
        <v>Jaan Sepp, Mait Metsla, Oskar Sepp</v>
      </c>
      <c r="C102" s="912">
        <v>13</v>
      </c>
      <c r="D102" s="912"/>
      <c r="E102" s="912"/>
      <c r="F102" s="702"/>
    </row>
    <row r="103" spans="1:7" x14ac:dyDescent="0.2">
      <c r="A103" s="910"/>
      <c r="B103" s="913"/>
      <c r="C103" s="914" t="str">
        <f>IF(COUNT(C102,C104)=2,IF(C102&gt;C104,B102,B104),"")</f>
        <v>Jaan Sepp, Mait Metsla, Oskar Sepp</v>
      </c>
      <c r="D103" s="702"/>
      <c r="E103" s="912">
        <v>13</v>
      </c>
      <c r="F103" s="702"/>
    </row>
    <row r="104" spans="1:7" x14ac:dyDescent="0.2">
      <c r="A104" s="910" t="s">
        <v>525</v>
      </c>
      <c r="B104" s="915" t="str">
        <f>IF(A104="-","-",IFERROR(INDEX(B$1:B$100,MATCH(A104,I$1:I$100,0)),""))</f>
        <v>Boriss Klubov, Tõnu Kapper, Vladimir Ogneštšikov</v>
      </c>
      <c r="C104" s="916">
        <v>4</v>
      </c>
      <c r="D104" s="917"/>
      <c r="E104" s="702"/>
      <c r="F104" s="702"/>
    </row>
    <row r="105" spans="1:7" ht="13.5" thickBot="1" x14ac:dyDescent="0.25">
      <c r="A105" s="910"/>
      <c r="B105" s="918"/>
      <c r="C105" s="919"/>
      <c r="D105" s="920"/>
      <c r="E105" s="921"/>
      <c r="F105" s="922" t="str">
        <f>IF(COUNT(E103,E107)=2,IF(E103&gt;E107,C103,C107),"")</f>
        <v>Jaan Sepp, Mait Metsla, Oskar Sepp</v>
      </c>
    </row>
    <row r="106" spans="1:7" x14ac:dyDescent="0.2">
      <c r="A106" s="910" t="s">
        <v>526</v>
      </c>
      <c r="B106" s="911" t="str">
        <f>IF(A106="-","-",IFERROR(INDEX(B$1:B$100,MATCH(A106,I$1:I$100,0)),""))</f>
        <v>Andrei Grintšak, Elmo Lageda, Tõnu Piik</v>
      </c>
      <c r="C106" s="912">
        <v>13</v>
      </c>
      <c r="D106" s="920"/>
      <c r="E106" s="923"/>
      <c r="F106" s="883" t="s">
        <v>513</v>
      </c>
      <c r="G106" s="924"/>
    </row>
    <row r="107" spans="1:7" x14ac:dyDescent="0.2">
      <c r="A107" s="910"/>
      <c r="B107" s="913"/>
      <c r="C107" s="914" t="str">
        <f>IF(COUNT(C106,C108)=2,IF(C106&gt;C108,B106,B108),"")</f>
        <v>Andrei Grintšak, Elmo Lageda, Tõnu Piik</v>
      </c>
      <c r="D107" s="925"/>
      <c r="E107" s="916">
        <v>11</v>
      </c>
      <c r="F107" s="886"/>
      <c r="G107" s="926"/>
    </row>
    <row r="108" spans="1:7" ht="13.5" thickBot="1" x14ac:dyDescent="0.25">
      <c r="A108" s="910" t="s">
        <v>527</v>
      </c>
      <c r="B108" s="915" t="str">
        <f>IF(A108="-","-",IFERROR(INDEX(B$1:B$100,MATCH(A108,I$1:I$100,0)),""))</f>
        <v>Kenneth Muusikus, Oksana Rõndenkova, Oleg Rõndenkov</v>
      </c>
      <c r="C108" s="916">
        <v>1</v>
      </c>
      <c r="D108" s="912"/>
      <c r="E108" s="919"/>
      <c r="F108" s="927" t="str">
        <f>IF(COUNT(E103,E107)=2,IF(E103&lt;E107,C103,C107),"")</f>
        <v>Andrei Grintšak, Elmo Lageda, Tõnu Piik</v>
      </c>
      <c r="G108" s="928"/>
    </row>
    <row r="109" spans="1:7" x14ac:dyDescent="0.2">
      <c r="A109" s="429"/>
      <c r="B109" s="912"/>
      <c r="C109" s="912"/>
      <c r="D109" s="912"/>
      <c r="E109" s="919"/>
      <c r="F109" s="742" t="s">
        <v>514</v>
      </c>
    </row>
    <row r="110" spans="1:7" x14ac:dyDescent="0.2">
      <c r="A110" s="429"/>
      <c r="B110" s="912"/>
      <c r="C110" s="922" t="str">
        <f>IF(COUNT(C102,C104)=2,IF(C102&lt;C104,B102,B104),"")</f>
        <v>Boriss Klubov, Tõnu Kapper, Vladimir Ogneštšikov</v>
      </c>
      <c r="D110" s="702"/>
      <c r="E110" s="919">
        <v>13</v>
      </c>
      <c r="F110" s="886"/>
    </row>
    <row r="111" spans="1:7" ht="13.5" thickBot="1" x14ac:dyDescent="0.25">
      <c r="A111" s="429"/>
      <c r="B111" s="912"/>
      <c r="C111" s="929"/>
      <c r="D111" s="930"/>
      <c r="E111" s="931"/>
      <c r="F111" s="922" t="str">
        <f>IF(COUNT(E110,E112)=2,IF(E110&gt;E112,C110,C112),"")</f>
        <v>Boriss Klubov, Tõnu Kapper, Vladimir Ogneštšikov</v>
      </c>
    </row>
    <row r="112" spans="1:7" x14ac:dyDescent="0.2">
      <c r="A112" s="429"/>
      <c r="B112" s="912"/>
      <c r="C112" s="932" t="str">
        <f>IF(COUNT(C106,C108)=2,IF(C106&lt;C108,B106,B108),"")</f>
        <v>Kenneth Muusikus, Oksana Rõndenkova, Oleg Rõndenkov</v>
      </c>
      <c r="D112" s="925"/>
      <c r="E112" s="916">
        <v>10</v>
      </c>
      <c r="F112" s="883" t="s">
        <v>461</v>
      </c>
      <c r="G112" s="924"/>
    </row>
    <row r="113" spans="1:7" x14ac:dyDescent="0.2">
      <c r="A113" s="429"/>
      <c r="B113" s="702"/>
      <c r="C113" s="702"/>
      <c r="D113" s="702"/>
      <c r="E113" s="702"/>
      <c r="F113" s="886"/>
      <c r="G113" s="926"/>
    </row>
    <row r="114" spans="1:7" ht="13.5" thickBot="1" x14ac:dyDescent="0.25">
      <c r="A114" s="429"/>
      <c r="B114" s="702"/>
      <c r="C114" s="886"/>
      <c r="D114" s="886"/>
      <c r="E114" s="702"/>
      <c r="F114" s="885" t="str">
        <f>IF(COUNT(E110,E112)=2,IF(E110&lt;E112,C110,C112),"")</f>
        <v>Kenneth Muusikus, Oksana Rõndenkova, Oleg Rõndenkov</v>
      </c>
      <c r="G114" s="928"/>
    </row>
    <row r="115" spans="1:7" x14ac:dyDescent="0.2">
      <c r="A115" s="429"/>
      <c r="B115" s="702"/>
      <c r="C115" s="886"/>
      <c r="D115" s="886"/>
      <c r="E115" s="702"/>
      <c r="F115" s="742" t="s">
        <v>458</v>
      </c>
    </row>
    <row r="116" spans="1:7" x14ac:dyDescent="0.2">
      <c r="A116" s="429"/>
    </row>
    <row r="117" spans="1:7" x14ac:dyDescent="0.2">
      <c r="A117" s="909" t="s">
        <v>528</v>
      </c>
    </row>
    <row r="119" spans="1:7" x14ac:dyDescent="0.2">
      <c r="A119" s="910" t="s">
        <v>529</v>
      </c>
      <c r="B119" s="911" t="str">
        <f>IF(A119="-","-",IFERROR(INDEX(B$1:B$100,MATCH(A119,I$1:I$100,0)),""))</f>
        <v>Henri Mitt, Johannes Neiland, Kaspar Mänd, Sandra Laura Nõmmeloo</v>
      </c>
      <c r="C119" s="912">
        <v>8</v>
      </c>
      <c r="D119" s="912"/>
      <c r="E119" s="912"/>
      <c r="F119" s="702"/>
    </row>
    <row r="120" spans="1:7" x14ac:dyDescent="0.2">
      <c r="A120" s="910"/>
      <c r="B120" s="913"/>
      <c r="C120" s="914" t="str">
        <f>IF(COUNT(C119,C121)=2,IF(C119&gt;C121,B119,B121),"")</f>
        <v>Enn Tokman, Janek Tarto, Veiko Parts</v>
      </c>
      <c r="D120" s="702"/>
      <c r="E120" s="912">
        <v>13</v>
      </c>
      <c r="F120" s="702"/>
    </row>
    <row r="121" spans="1:7" x14ac:dyDescent="0.2">
      <c r="A121" s="910" t="s">
        <v>530</v>
      </c>
      <c r="B121" s="915" t="str">
        <f>IF(A121="-","-",IFERROR(INDEX(B$1:B$100,MATCH(A121,I$1:I$100,0)),""))</f>
        <v>Enn Tokman, Janek Tarto, Veiko Parts</v>
      </c>
      <c r="C121" s="916">
        <v>13</v>
      </c>
      <c r="D121" s="917"/>
      <c r="E121" s="702"/>
      <c r="F121" s="702"/>
    </row>
    <row r="122" spans="1:7" ht="13.5" thickBot="1" x14ac:dyDescent="0.25">
      <c r="A122" s="910"/>
      <c r="B122" s="918"/>
      <c r="C122" s="919"/>
      <c r="D122" s="920"/>
      <c r="E122" s="921"/>
      <c r="F122" s="922" t="str">
        <f>IF(COUNT(E120,E124)=2,IF(E120&gt;E124,C120,C124),"")</f>
        <v>Enn Tokman, Janek Tarto, Veiko Parts</v>
      </c>
    </row>
    <row r="123" spans="1:7" x14ac:dyDescent="0.2">
      <c r="A123" s="910" t="s">
        <v>531</v>
      </c>
      <c r="B123" s="911" t="str">
        <f>IF(A123="-","-",IFERROR(INDEX(B$1:B$100,MATCH(A123,I$1:I$100,0)),""))</f>
        <v>Andres Veski, Karla Purgats, Tõnis Anton</v>
      </c>
      <c r="C123" s="912">
        <v>10</v>
      </c>
      <c r="D123" s="920"/>
      <c r="E123" s="923"/>
      <c r="F123" s="883" t="s">
        <v>459</v>
      </c>
      <c r="G123" s="924"/>
    </row>
    <row r="124" spans="1:7" x14ac:dyDescent="0.2">
      <c r="A124" s="910"/>
      <c r="B124" s="913"/>
      <c r="C124" s="914" t="str">
        <f>IF(COUNT(C123,C125)=2,IF(C123&gt;C125,B123,B125),"")</f>
        <v>Argo Sepp, Ljudmila Varendi, Viktor Švarõgin</v>
      </c>
      <c r="D124" s="925"/>
      <c r="E124" s="916">
        <v>1</v>
      </c>
      <c r="F124" s="886"/>
      <c r="G124" s="926"/>
    </row>
    <row r="125" spans="1:7" ht="13.5" thickBot="1" x14ac:dyDescent="0.25">
      <c r="A125" s="910" t="s">
        <v>532</v>
      </c>
      <c r="B125" s="915" t="str">
        <f>IF(A125="-","-",IFERROR(INDEX(B$1:B$100,MATCH(A125,I$1:I$100,0)),""))</f>
        <v>Argo Sepp, Ljudmila Varendi, Viktor Švarõgin</v>
      </c>
      <c r="C125" s="916">
        <v>13</v>
      </c>
      <c r="D125" s="912"/>
      <c r="E125" s="919"/>
      <c r="F125" s="927" t="str">
        <f>IF(COUNT(E120,E124)=2,IF(E120&lt;E124,C120,C124),"")</f>
        <v>Argo Sepp, Ljudmila Varendi, Viktor Švarõgin</v>
      </c>
      <c r="G125" s="928"/>
    </row>
    <row r="126" spans="1:7" x14ac:dyDescent="0.2">
      <c r="A126" s="429"/>
      <c r="B126" s="912"/>
      <c r="C126" s="912"/>
      <c r="D126" s="912"/>
      <c r="E126" s="919"/>
      <c r="F126" s="742" t="s">
        <v>456</v>
      </c>
    </row>
    <row r="127" spans="1:7" x14ac:dyDescent="0.2">
      <c r="A127" s="429"/>
      <c r="B127" s="912"/>
      <c r="C127" s="922" t="str">
        <f>IF(COUNT(C119,C121)=2,IF(C119&lt;C121,B119,B121),"")</f>
        <v>Henri Mitt, Johannes Neiland, Kaspar Mänd, Sandra Laura Nõmmeloo</v>
      </c>
      <c r="D127" s="702"/>
      <c r="E127" s="919">
        <v>13</v>
      </c>
      <c r="F127" s="886"/>
    </row>
    <row r="128" spans="1:7" ht="13.5" thickBot="1" x14ac:dyDescent="0.25">
      <c r="A128" s="429"/>
      <c r="B128" s="912"/>
      <c r="C128" s="929"/>
      <c r="D128" s="930"/>
      <c r="E128" s="931"/>
      <c r="F128" s="922" t="str">
        <f>IF(COUNT(E127,E129)=2,IF(E127&gt;E129,C127,C129),"")</f>
        <v>Henri Mitt, Johannes Neiland, Kaspar Mänd, Sandra Laura Nõmmeloo</v>
      </c>
    </row>
    <row r="129" spans="1:7" x14ac:dyDescent="0.2">
      <c r="A129" s="429"/>
      <c r="B129" s="912"/>
      <c r="C129" s="932" t="str">
        <f>IF(COUNT(C123,C125)=2,IF(C123&lt;C125,B123,B125),"")</f>
        <v>Andres Veski, Karla Purgats, Tõnis Anton</v>
      </c>
      <c r="D129" s="925"/>
      <c r="E129" s="916">
        <v>12</v>
      </c>
      <c r="F129" s="883" t="s">
        <v>468</v>
      </c>
      <c r="G129" s="924"/>
    </row>
    <row r="130" spans="1:7" x14ac:dyDescent="0.2">
      <c r="A130" s="429"/>
      <c r="B130" s="702"/>
      <c r="C130" s="702"/>
      <c r="D130" s="702"/>
      <c r="E130" s="702"/>
      <c r="F130" s="886"/>
      <c r="G130" s="926"/>
    </row>
    <row r="131" spans="1:7" ht="13.5" thickBot="1" x14ac:dyDescent="0.25">
      <c r="A131" s="429"/>
      <c r="B131" s="702"/>
      <c r="C131" s="886"/>
      <c r="D131" s="886"/>
      <c r="E131" s="702"/>
      <c r="F131" s="885" t="str">
        <f>IF(COUNT(E127,E129)=2,IF(E127&lt;E129,C127,C129),"")</f>
        <v>Andres Veski, Karla Purgats, Tõnis Anton</v>
      </c>
      <c r="G131" s="928"/>
    </row>
    <row r="132" spans="1:7" x14ac:dyDescent="0.2">
      <c r="A132" s="429"/>
      <c r="B132" s="702"/>
      <c r="C132" s="886"/>
      <c r="D132" s="886"/>
      <c r="E132" s="702"/>
      <c r="F132" s="742" t="s">
        <v>464</v>
      </c>
    </row>
    <row r="133" spans="1:7" hidden="1" x14ac:dyDescent="0.2"/>
    <row r="134" spans="1:7" hidden="1" x14ac:dyDescent="0.2"/>
    <row r="135" spans="1:7" hidden="1" x14ac:dyDescent="0.2"/>
    <row r="136" spans="1:7" hidden="1" x14ac:dyDescent="0.2"/>
    <row r="137" spans="1:7" hidden="1" x14ac:dyDescent="0.2"/>
    <row r="138" spans="1:7" hidden="1" x14ac:dyDescent="0.2"/>
    <row r="139" spans="1:7" hidden="1" x14ac:dyDescent="0.2"/>
    <row r="140" spans="1:7" hidden="1" x14ac:dyDescent="0.2"/>
    <row r="141" spans="1:7" hidden="1" x14ac:dyDescent="0.2"/>
    <row r="142" spans="1:7" hidden="1" x14ac:dyDescent="0.2"/>
    <row r="143" spans="1:7" hidden="1" x14ac:dyDescent="0.2"/>
    <row r="144" spans="1:7"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row r="192"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652"/>
      <c r="B299" s="652"/>
      <c r="C299" s="646" t="s">
        <v>182</v>
      </c>
    </row>
    <row r="300" spans="1:3" x14ac:dyDescent="0.2">
      <c r="A300" s="699">
        <v>1</v>
      </c>
      <c r="B300" s="700" t="str">
        <f>IFERROR(INDEX(F$100:F$300,MATCH(A300&amp;". koht",F$101:F$301,0)),"")</f>
        <v>Jaan Sepp, Mait Metsla, Oskar Sepp</v>
      </c>
      <c r="C300" s="711">
        <v>40</v>
      </c>
    </row>
    <row r="301" spans="1:3" x14ac:dyDescent="0.2">
      <c r="A301" s="699">
        <v>2</v>
      </c>
      <c r="B301" s="700" t="str">
        <f t="shared" ref="B301:B307" si="5">IFERROR(INDEX(F$100:F$300,MATCH(A301&amp;". koht",F$101:F$301,0)),"")</f>
        <v>Andrei Grintšak, Elmo Lageda, Tõnu Piik</v>
      </c>
      <c r="C301" s="711">
        <v>34</v>
      </c>
    </row>
    <row r="302" spans="1:3" x14ac:dyDescent="0.2">
      <c r="A302" s="699">
        <v>3</v>
      </c>
      <c r="B302" s="700" t="str">
        <f t="shared" si="5"/>
        <v>Boriss Klubov, Tõnu Kapper, Vladimir Ogneštšikov</v>
      </c>
      <c r="C302" s="711">
        <v>30</v>
      </c>
    </row>
    <row r="303" spans="1:3" x14ac:dyDescent="0.2">
      <c r="A303" s="699">
        <v>4</v>
      </c>
      <c r="B303" s="700" t="str">
        <f t="shared" si="5"/>
        <v>Kenneth Muusikus, Oksana Rõndenkova, Oleg Rõndenkov</v>
      </c>
      <c r="C303" s="711">
        <v>26</v>
      </c>
    </row>
    <row r="304" spans="1:3" x14ac:dyDescent="0.2">
      <c r="A304" s="699">
        <v>5</v>
      </c>
      <c r="B304" s="700" t="str">
        <f t="shared" si="5"/>
        <v>Enn Tokman, Janek Tarto, Veiko Parts</v>
      </c>
      <c r="C304" s="711">
        <v>24</v>
      </c>
    </row>
    <row r="305" spans="1:3" x14ac:dyDescent="0.2">
      <c r="A305" s="699">
        <v>6</v>
      </c>
      <c r="B305" s="700" t="str">
        <f t="shared" si="5"/>
        <v>Argo Sepp, Ljudmila Varendi, Viktor Švarõgin</v>
      </c>
      <c r="C305" s="711">
        <v>22</v>
      </c>
    </row>
    <row r="306" spans="1:3" ht="25.5" x14ac:dyDescent="0.2">
      <c r="A306" s="699">
        <v>7</v>
      </c>
      <c r="B306" s="700" t="str">
        <f t="shared" si="5"/>
        <v>Henri Mitt, Johannes Neiland, Kaspar Mänd, Sandra Laura Nõmmeloo</v>
      </c>
      <c r="C306" s="711">
        <v>20</v>
      </c>
    </row>
    <row r="307" spans="1:3" x14ac:dyDescent="0.2">
      <c r="A307" s="699">
        <v>8</v>
      </c>
      <c r="B307" s="700" t="str">
        <f t="shared" si="5"/>
        <v>Andres Veski, Karla Purgats, Tõnis Anton</v>
      </c>
      <c r="C307" s="711">
        <v>18</v>
      </c>
    </row>
  </sheetData>
  <conditionalFormatting sqref="AI7:AI17">
    <cfRule type="expression" dxfId="1367" priority="116">
      <formula>AND(AJ7="",FIND(",",AI7))</formula>
    </cfRule>
    <cfRule type="expression" dxfId="1366" priority="121">
      <formula>AND(AJ7="",COUNTIF(AI7,"*,*")=0)</formula>
    </cfRule>
  </conditionalFormatting>
  <conditionalFormatting sqref="AK7:AK17">
    <cfRule type="expression" dxfId="1365" priority="120">
      <formula>AND(AL7="",COUNTIF(AK7,"*,*")=0)</formula>
    </cfRule>
  </conditionalFormatting>
  <conditionalFormatting sqref="AM7:AM17">
    <cfRule type="expression" dxfId="1364" priority="119">
      <formula>AND(AN7="",COUNTIF(AM7,"*,*")=0)</formula>
    </cfRule>
  </conditionalFormatting>
  <conditionalFormatting sqref="AG7:AG17">
    <cfRule type="expression" dxfId="1363" priority="118">
      <formula>AND(AH7="",COUNTIF(AG7,"*,*")=0)</formula>
    </cfRule>
  </conditionalFormatting>
  <conditionalFormatting sqref="AE7:AE17">
    <cfRule type="expression" dxfId="1362" priority="117">
      <formula>AND(AF7="",COUNTIF(AE7,"*,*")=0)</formula>
    </cfRule>
  </conditionalFormatting>
  <conditionalFormatting sqref="A300:A307">
    <cfRule type="duplicateValues" dxfId="1361" priority="115"/>
  </conditionalFormatting>
  <conditionalFormatting sqref="B300:B307">
    <cfRule type="expression" dxfId="1360" priority="110">
      <formula>A300=3</formula>
    </cfRule>
    <cfRule type="expression" dxfId="1359" priority="111">
      <formula>A300=2</formula>
    </cfRule>
    <cfRule type="expression" dxfId="1358" priority="112">
      <formula>A300=1</formula>
    </cfRule>
    <cfRule type="containsBlanks" dxfId="1357" priority="113">
      <formula>LEN(TRIM(B300))=0</formula>
    </cfRule>
    <cfRule type="duplicateValues" dxfId="1356" priority="114"/>
  </conditionalFormatting>
  <conditionalFormatting sqref="D7 C8">
    <cfRule type="aboveAverage" dxfId="1355" priority="94"/>
  </conditionalFormatting>
  <conditionalFormatting sqref="E7 C9">
    <cfRule type="aboveAverage" dxfId="1354" priority="93"/>
  </conditionalFormatting>
  <conditionalFormatting sqref="F7 C10">
    <cfRule type="aboveAverage" dxfId="1353" priority="92"/>
  </conditionalFormatting>
  <conditionalFormatting sqref="E8 D9">
    <cfRule type="aboveAverage" dxfId="1352" priority="91"/>
  </conditionalFormatting>
  <conditionalFormatting sqref="G7 C11">
    <cfRule type="aboveAverage" dxfId="1351" priority="90"/>
  </conditionalFormatting>
  <conditionalFormatting sqref="F8 D10">
    <cfRule type="aboveAverage" dxfId="1350" priority="89"/>
  </conditionalFormatting>
  <conditionalFormatting sqref="G8 D11">
    <cfRule type="aboveAverage" dxfId="1349" priority="88"/>
  </conditionalFormatting>
  <conditionalFormatting sqref="F9 E10">
    <cfRule type="aboveAverage" dxfId="1348" priority="87"/>
  </conditionalFormatting>
  <conditionalFormatting sqref="G9 E11">
    <cfRule type="aboveAverage" dxfId="1347" priority="86"/>
  </conditionalFormatting>
  <conditionalFormatting sqref="F11 G10">
    <cfRule type="aboveAverage" dxfId="1346" priority="85"/>
  </conditionalFormatting>
  <conditionalFormatting sqref="D14 C15">
    <cfRule type="aboveAverage" dxfId="1345" priority="84"/>
  </conditionalFormatting>
  <conditionalFormatting sqref="E14 C16">
    <cfRule type="aboveAverage" dxfId="1344" priority="83"/>
  </conditionalFormatting>
  <conditionalFormatting sqref="F14 C17">
    <cfRule type="aboveAverage" dxfId="1343" priority="82"/>
  </conditionalFormatting>
  <conditionalFormatting sqref="E15 D16">
    <cfRule type="aboveAverage" dxfId="1342" priority="81"/>
  </conditionalFormatting>
  <conditionalFormatting sqref="G14 C18">
    <cfRule type="aboveAverage" dxfId="1341" priority="80"/>
  </conditionalFormatting>
  <conditionalFormatting sqref="F15 D17">
    <cfRule type="aboveAverage" dxfId="1340" priority="79"/>
  </conditionalFormatting>
  <conditionalFormatting sqref="G15 D18">
    <cfRule type="aboveAverage" dxfId="1339" priority="78"/>
  </conditionalFormatting>
  <conditionalFormatting sqref="F16 E17">
    <cfRule type="aboveAverage" dxfId="1338" priority="77"/>
  </conditionalFormatting>
  <conditionalFormatting sqref="G16 E18">
    <cfRule type="aboveAverage" dxfId="1337" priority="76"/>
  </conditionalFormatting>
  <conditionalFormatting sqref="F18 G17">
    <cfRule type="aboveAverage" dxfId="1336" priority="75"/>
  </conditionalFormatting>
  <conditionalFormatting sqref="I7:I11">
    <cfRule type="expression" dxfId="1335" priority="73">
      <formula>FIND(2,I7,1)</formula>
    </cfRule>
    <cfRule type="expression" dxfId="1334" priority="74">
      <formula>FIND(1,I7,1)</formula>
    </cfRule>
  </conditionalFormatting>
  <conditionalFormatting sqref="H14:H18">
    <cfRule type="expression" dxfId="1333" priority="17">
      <formula>AND(Q14=4,IF(COUNTIF(Q$14:Q$18,"=4")&gt;=2,TRUE))</formula>
    </cfRule>
    <cfRule type="expression" dxfId="1332" priority="95">
      <formula>AND(Q14=3,IF(COUNTIF(Q$14:Q$18,"=3")&gt;=2,TRUE))</formula>
    </cfRule>
    <cfRule type="expression" dxfId="1331" priority="96">
      <formula>AND(Q14=2,IF(COUNTIF(Q$14:Q$18,"=2")&gt;=2,TRUE))</formula>
    </cfRule>
    <cfRule type="expression" dxfId="1330" priority="97">
      <formula>AND(Q14=1,IF(COUNTIF(Q$14:Q$18,"=1")&gt;=2,TRUE))</formula>
    </cfRule>
  </conditionalFormatting>
  <conditionalFormatting sqref="B7:B18">
    <cfRule type="duplicateValues" dxfId="1329" priority="72"/>
  </conditionalFormatting>
  <conditionalFormatting sqref="L7:L11">
    <cfRule type="expression" dxfId="1328" priority="55">
      <formula>K7=0</formula>
    </cfRule>
    <cfRule type="expression" dxfId="1327" priority="64">
      <formula>IF(COUNTIF(J$7:J$11,"=2")=2,TRUE)</formula>
    </cfRule>
    <cfRule type="expression" dxfId="1326" priority="65">
      <formula>IF(COUNTIF(J$7:J$11,"=1")=2,TRUE)</formula>
    </cfRule>
    <cfRule type="expression" dxfId="1325" priority="66">
      <formula>AND(IF(COUNTIF(Q$7:Q$11,"=1")=2,TRUE),IF(COUNTIF(Q$7:Q$11,"=2")=2,TRUE))</formula>
    </cfRule>
    <cfRule type="expression" dxfId="1324" priority="67">
      <formula>AND(Q7=4,IF(COUNTIF(Q$7:Q$11,"=4")=1,TRUE))</formula>
    </cfRule>
    <cfRule type="expression" dxfId="1323" priority="68">
      <formula>AND(Q7=3,IF(COUNTIF(Q$7:Q$11,"=3")=1,TRUE))</formula>
    </cfRule>
    <cfRule type="expression" dxfId="1322" priority="69">
      <formula>AND(Q7=2,IF(COUNTIF(Q$7:Q$11,"=2")=1,TRUE))</formula>
    </cfRule>
    <cfRule type="expression" dxfId="1321" priority="70">
      <formula>AND(Q7=1,IF(COUNTIF(Q$7:Q$11,"=1")=1,TRUE))</formula>
    </cfRule>
    <cfRule type="expression" dxfId="1320" priority="71">
      <formula>OR(Q7=0,Q7=5)</formula>
    </cfRule>
  </conditionalFormatting>
  <conditionalFormatting sqref="O7:O11">
    <cfRule type="expression" dxfId="1319" priority="63">
      <formula>OR(AND(J7=1,K7=1,L7=0,M7=1),AND(J7=2,K7=2,L7=0,M7=2))</formula>
    </cfRule>
  </conditionalFormatting>
  <conditionalFormatting sqref="M7:M11">
    <cfRule type="expression" dxfId="1318" priority="56">
      <formula>AND(L7&gt;0,IF(COUNTIF(L$7:L$11,L7)&gt;1,TRUE,FALSE))</formula>
    </cfRule>
    <cfRule type="expression" dxfId="1317" priority="57">
      <formula>AND(IF(COUNTIF(R$7:R$11,"=1")=2,TRUE),IF(COUNTIF(R$7:R$11,"=2")=2,TRUE))</formula>
    </cfRule>
    <cfRule type="expression" dxfId="1316" priority="58">
      <formula>AND(R7=4,IF(COUNTIF(R$7:R$11,"=4")=1,TRUE))</formula>
    </cfRule>
    <cfRule type="expression" dxfId="1315" priority="59">
      <formula>AND(R7=3,IF(COUNTIF(R$7:R$11,"=3")=1,TRUE))</formula>
    </cfRule>
    <cfRule type="expression" dxfId="1314" priority="60">
      <formula>AND(R7=2,IF(COUNTIF(R$7:R$11,"=2")=1,TRUE))</formula>
    </cfRule>
    <cfRule type="expression" dxfId="1313" priority="61">
      <formula>AND(R7=1,IF(COUNTIF(R$7:R$11,"=1")=1,TRUE))</formula>
    </cfRule>
    <cfRule type="expression" dxfId="1312" priority="62">
      <formula>OR(R7=0,R7=5)</formula>
    </cfRule>
  </conditionalFormatting>
  <conditionalFormatting sqref="J7:J11">
    <cfRule type="expression" dxfId="1311" priority="51">
      <formula>AND(Q7=4,IF(COUNTIF(Q$7:Q$11,"=4")&gt;=2,TRUE))</formula>
    </cfRule>
    <cfRule type="expression" dxfId="1310" priority="52">
      <formula>AND(Q7=3,IF(COUNTIF(Q$7:Q$11,"=3")&gt;=2,TRUE))</formula>
    </cfRule>
    <cfRule type="expression" dxfId="1309" priority="53">
      <formula>AND(Q7=2,IF(COUNTIF(Q$7:Q$11,"=2")&gt;=2,TRUE))</formula>
    </cfRule>
    <cfRule type="expression" dxfId="1308" priority="54">
      <formula>AND(Q7=1,IF(COUNTIF(Q$7:Q$11,"=1")&gt;=2,TRUE))</formula>
    </cfRule>
  </conditionalFormatting>
  <conditionalFormatting sqref="H7:H11">
    <cfRule type="expression" dxfId="1307" priority="18">
      <formula>AND(Q7=4,IF(COUNTIF(Q$7:Q$11,"=4")&gt;=2,TRUE))</formula>
    </cfRule>
    <cfRule type="expression" dxfId="1306" priority="98">
      <formula>AND(Q7=3,IF(COUNTIF(Q$7:Q$11,"=3")&gt;=2,TRUE))</formula>
    </cfRule>
    <cfRule type="expression" dxfId="1305" priority="99">
      <formula>AND(Q7=2,IF(COUNTIF(Q$7:Q$11,"=2")&gt;=2,TRUE))</formula>
    </cfRule>
    <cfRule type="expression" dxfId="1304" priority="100">
      <formula>AND(Q7=1,IF(COUNTIF(Q$7:Q$11,"=1")&gt;=2,TRUE))</formula>
    </cfRule>
  </conditionalFormatting>
  <conditionalFormatting sqref="K7:K11">
    <cfRule type="expression" dxfId="1303" priority="101">
      <formula>AND(J7&gt;0,IF(COUNTIF(J$7:J$11,"=1")=2,TRUE),IF(COUNTIF(J$7:J$11,"=2")=2,TRUE))</formula>
    </cfRule>
    <cfRule type="expression" dxfId="1302" priority="102">
      <formula>IF(COUNTIF(L$7:L$11,"=2")=2,TRUE)</formula>
    </cfRule>
    <cfRule type="expression" dxfId="1301" priority="103">
      <formula>IF(COUNTIF(L$7:L$11,"=1")=2,TRUE)</formula>
    </cfRule>
    <cfRule type="expression" dxfId="1300" priority="104">
      <formula>AND(IF(COUNTIF(R$7:R$11,"=1")=2,TRUE),IF(COUNTIF(S$7:S$11,"=2")=2,TRUE))</formula>
    </cfRule>
    <cfRule type="expression" dxfId="1299" priority="105">
      <formula>AND(R7=4,IF(COUNTIF(R$7:R$11,"=4")=1,TRUE))</formula>
    </cfRule>
    <cfRule type="expression" dxfId="1298" priority="106">
      <formula>AND(R7=3,IF(COUNTIF(R$7:R$11,"=3")=1,TRUE))</formula>
    </cfRule>
    <cfRule type="expression" dxfId="1297" priority="107">
      <formula>AND(R7=2,IF(COUNTIF(R$7:R$11,"=2")=1,TRUE))</formula>
    </cfRule>
    <cfRule type="expression" dxfId="1296" priority="108">
      <formula>AND(R7=1,IF(COUNTIF(R$7:R$11,"=1")=1,TRUE))</formula>
    </cfRule>
    <cfRule type="expression" dxfId="1295" priority="109">
      <formula>OR(R7=0,R7=5)</formula>
    </cfRule>
  </conditionalFormatting>
  <conditionalFormatting sqref="I14:I18">
    <cfRule type="expression" dxfId="1294" priority="40">
      <formula>FIND(2,I14,1)</formula>
    </cfRule>
    <cfRule type="expression" dxfId="1293" priority="41">
      <formula>FIND(1,I14,1)</formula>
    </cfRule>
  </conditionalFormatting>
  <conditionalFormatting sqref="L14:L18">
    <cfRule type="expression" dxfId="1292" priority="23">
      <formula>K14=0</formula>
    </cfRule>
    <cfRule type="expression" dxfId="1291" priority="32">
      <formula>IF(COUNTIF(J$14:J$18,"=2")=2,TRUE)</formula>
    </cfRule>
    <cfRule type="expression" dxfId="1290" priority="33">
      <formula>IF(COUNTIF(J$14:J$18,"=1")=2,TRUE)</formula>
    </cfRule>
    <cfRule type="expression" dxfId="1289" priority="34">
      <formula>AND(IF(COUNTIF(Q$14:Q$18,"=1")=2,TRUE),IF(COUNTIF(Q$14:Q$18,"=2")=2,TRUE))</formula>
    </cfRule>
    <cfRule type="expression" dxfId="1288" priority="35">
      <formula>AND(Q14=4,IF(COUNTIF(Q$14:Q$18,"=4")=1,TRUE))</formula>
    </cfRule>
    <cfRule type="expression" dxfId="1287" priority="36">
      <formula>AND(Q14=3,IF(COUNTIF(Q$14:Q$18,"=3")=1,TRUE))</formula>
    </cfRule>
    <cfRule type="expression" dxfId="1286" priority="37">
      <formula>AND(Q14=2,IF(COUNTIF(Q$14:Q$18,"=2")=1,TRUE))</formula>
    </cfRule>
    <cfRule type="expression" dxfId="1285" priority="38">
      <formula>AND(Q14=1,IF(COUNTIF(Q$14:Q$18,"=1")=1,TRUE))</formula>
    </cfRule>
    <cfRule type="expression" dxfId="1284" priority="39">
      <formula>OR(Q14=0,Q14=5)</formula>
    </cfRule>
  </conditionalFormatting>
  <conditionalFormatting sqref="O14:O18">
    <cfRule type="expression" dxfId="1283" priority="31">
      <formula>OR(AND(J14=1,K14=1,L14=0,M14=1),AND(J14=2,K14=2,L14=0,M14=2))</formula>
    </cfRule>
  </conditionalFormatting>
  <conditionalFormatting sqref="M14:M18">
    <cfRule type="expression" dxfId="1282" priority="24">
      <formula>AND(L14&gt;0,IF(COUNTIF(L$14:L$18,L14)&gt;1,TRUE,FALSE))</formula>
    </cfRule>
    <cfRule type="expression" dxfId="1281" priority="25">
      <formula>AND(IF(COUNTIF(R$14:R$18,"=1")=2,TRUE),IF(COUNTIF(R$14:R$18,"=2")=2,TRUE))</formula>
    </cfRule>
    <cfRule type="expression" dxfId="1280" priority="26">
      <formula>AND(R14=4,IF(COUNTIF(R$14:R$18,"=4")=1,TRUE))</formula>
    </cfRule>
    <cfRule type="expression" dxfId="1279" priority="27">
      <formula>AND(R14=3,IF(COUNTIF(R$14:R$18,"=3")=1,TRUE))</formula>
    </cfRule>
    <cfRule type="expression" dxfId="1278" priority="28">
      <formula>AND(R14=2,IF(COUNTIF(R$14:R$18,"=2")=1,TRUE))</formula>
    </cfRule>
    <cfRule type="expression" dxfId="1277" priority="29">
      <formula>AND(R14=1,IF(COUNTIF(R$14:R$18,"=1")=1,TRUE))</formula>
    </cfRule>
    <cfRule type="expression" dxfId="1276" priority="30">
      <formula>OR(R14=0,R14=5)</formula>
    </cfRule>
  </conditionalFormatting>
  <conditionalFormatting sqref="J14:J18">
    <cfRule type="expression" dxfId="1275" priority="19">
      <formula>AND(Q14=4,IF(COUNTIF(Q$14:Q$18,"=4")&gt;=2,TRUE))</formula>
    </cfRule>
    <cfRule type="expression" dxfId="1274" priority="20">
      <formula>AND(Q14=3,IF(COUNTIF(Q$14:Q$18,"=3")&gt;=2,TRUE))</formula>
    </cfRule>
    <cfRule type="expression" dxfId="1273" priority="21">
      <formula>AND(Q14=2,IF(COUNTIF(Q$14:Q$18,"=2")&gt;=2,TRUE))</formula>
    </cfRule>
    <cfRule type="expression" dxfId="1272" priority="22">
      <formula>AND(Q14=1,IF(COUNTIF(Q$14:Q$18,"=1")&gt;=2,TRUE))</formula>
    </cfRule>
  </conditionalFormatting>
  <conditionalFormatting sqref="K14:K18">
    <cfRule type="expression" dxfId="1271" priority="42">
      <formula>AND(J14&gt;0,IF(COUNTIF(J$14:J$18,"=1")=2,TRUE),IF(COUNTIF(J$14:J$18,"=2")=2,TRUE))</formula>
    </cfRule>
    <cfRule type="expression" dxfId="1270" priority="43">
      <formula>IF(COUNTIF(L$14:L$18,"=2")=2,TRUE)</formula>
    </cfRule>
    <cfRule type="expression" dxfId="1269" priority="44">
      <formula>IF(COUNTIF(L$14:L$18,"=1")=2,TRUE)</formula>
    </cfRule>
    <cfRule type="expression" dxfId="1268" priority="45">
      <formula>AND(IF(COUNTIF(R$14:R$18,"=1")=2,TRUE),IF(COUNTIF(S$14:S$18,"=2")=2,TRUE))</formula>
    </cfRule>
    <cfRule type="expression" dxfId="1267" priority="46">
      <formula>AND(R14=4,IF(COUNTIF(R$14:R$18,"=4")=1,TRUE))</formula>
    </cfRule>
    <cfRule type="expression" dxfId="1266" priority="47">
      <formula>AND(R14=3,IF(COUNTIF(R$14:R$18,"=3")=1,TRUE))</formula>
    </cfRule>
    <cfRule type="expression" dxfId="1265" priority="48">
      <formula>AND(R14=2,IF(COUNTIF(R$14:R$18,"=2")=1,TRUE))</formula>
    </cfRule>
    <cfRule type="expression" dxfId="1264" priority="49">
      <formula>AND(R14=1,IF(COUNTIF(R$14:R$18,"=1")=1,TRUE))</formula>
    </cfRule>
    <cfRule type="expression" dxfId="1263" priority="50">
      <formula>OR(R14=0,R14=5)</formula>
    </cfRule>
  </conditionalFormatting>
  <conditionalFormatting sqref="C102 C104">
    <cfRule type="containsBlanks" dxfId="1262" priority="15">
      <formula>LEN(TRIM(C102))=0</formula>
    </cfRule>
    <cfRule type="aboveAverage" dxfId="1261" priority="16"/>
  </conditionalFormatting>
  <conditionalFormatting sqref="C106 C108">
    <cfRule type="containsBlanks" dxfId="1260" priority="13">
      <formula>LEN(TRIM(C106))=0</formula>
    </cfRule>
    <cfRule type="aboveAverage" dxfId="1259" priority="14"/>
  </conditionalFormatting>
  <conditionalFormatting sqref="C119 C121">
    <cfRule type="containsBlanks" dxfId="1258" priority="11">
      <formula>LEN(TRIM(C119))=0</formula>
    </cfRule>
    <cfRule type="aboveAverage" dxfId="1257" priority="12"/>
  </conditionalFormatting>
  <conditionalFormatting sqref="C123 C125">
    <cfRule type="containsBlanks" dxfId="1256" priority="9">
      <formula>LEN(TRIM(C123))=0</formula>
    </cfRule>
    <cfRule type="aboveAverage" dxfId="1255" priority="10"/>
  </conditionalFormatting>
  <conditionalFormatting sqref="E127 E129">
    <cfRule type="containsBlanks" dxfId="1254" priority="1">
      <formula>LEN(TRIM(E127))=0</formula>
    </cfRule>
  </conditionalFormatting>
  <conditionalFormatting sqref="E110 E112">
    <cfRule type="aboveAverage" dxfId="1253" priority="6"/>
  </conditionalFormatting>
  <conditionalFormatting sqref="E110 E112">
    <cfRule type="containsBlanks" dxfId="1252" priority="5">
      <formula>LEN(TRIM(E110))=0</formula>
    </cfRule>
  </conditionalFormatting>
  <conditionalFormatting sqref="E103 E107">
    <cfRule type="containsBlanks" dxfId="1251" priority="7">
      <formula>LEN(TRIM(E103))=0</formula>
    </cfRule>
    <cfRule type="aboveAverage" dxfId="1250" priority="8"/>
  </conditionalFormatting>
  <conditionalFormatting sqref="E127 E129">
    <cfRule type="aboveAverage" dxfId="1249" priority="2"/>
  </conditionalFormatting>
  <conditionalFormatting sqref="E120 E124">
    <cfRule type="containsBlanks" dxfId="1248" priority="3">
      <formula>LEN(TRIM(E120))=0</formula>
    </cfRule>
    <cfRule type="aboveAverage" dxfId="1247" priority="4"/>
  </conditionalFormatting>
  <pageMargins left="0.59055118110236227" right="0.39370078740157483" top="0.78740157480314965" bottom="0.39370078740157483" header="0.59055118110236227" footer="0"/>
  <pageSetup paperSize="9" fitToHeight="0" orientation="landscape" r:id="rId1"/>
  <headerFooter>
    <oddHeader>&amp;R&amp;9Page &amp;P of &amp;N</oddHeader>
  </headerFooter>
  <rowBreaks count="1" manualBreakCount="1">
    <brk id="11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M311"/>
  <sheetViews>
    <sheetView showGridLines="0" showRowColHeaders="0" zoomScaleNormal="100" workbookViewId="0">
      <pane ySplit="2" topLeftCell="A3" activePane="bottomLeft" state="frozen"/>
      <selection pane="bottomLeft" activeCell="N1" sqref="N1"/>
    </sheetView>
  </sheetViews>
  <sheetFormatPr defaultRowHeight="12.75" x14ac:dyDescent="0.2"/>
  <cols>
    <col min="1" max="1" width="3.28515625" customWidth="1"/>
    <col min="2" max="2" width="40.28515625" bestFit="1" customWidth="1"/>
    <col min="3" max="3" width="4.7109375" customWidth="1"/>
    <col min="4" max="4" width="1.140625" customWidth="1"/>
    <col min="5" max="5" width="2.7109375" customWidth="1"/>
    <col min="7" max="7" width="2.7109375" customWidth="1"/>
    <col min="8" max="8" width="1.140625" customWidth="1"/>
    <col min="9" max="9" width="2.7109375" customWidth="1"/>
    <col min="11" max="11" width="2.7109375" customWidth="1"/>
    <col min="12" max="12" width="1.140625" customWidth="1"/>
    <col min="13" max="13" width="2.7109375" customWidth="1"/>
    <col min="15" max="15" width="2.7109375" customWidth="1"/>
    <col min="16" max="16" width="1.140625" customWidth="1"/>
    <col min="17" max="17" width="2.7109375" customWidth="1"/>
    <col min="19" max="19" width="2.7109375" customWidth="1"/>
    <col min="20" max="20" width="1.140625" customWidth="1"/>
    <col min="21" max="21" width="2.7109375" customWidth="1"/>
    <col min="23" max="23" width="5.7109375" customWidth="1"/>
    <col min="24" max="24" width="5.5703125" hidden="1" customWidth="1"/>
    <col min="25" max="25" width="2.7109375" customWidth="1"/>
    <col min="26" max="26" width="1.140625" customWidth="1"/>
    <col min="27" max="27" width="2.7109375" customWidth="1"/>
    <col min="28" max="28" width="4.7109375" customWidth="1"/>
    <col min="30" max="31" width="9.140625" hidden="1" customWidth="1"/>
    <col min="32" max="32" width="16.5703125" hidden="1" customWidth="1"/>
    <col min="33" max="33" width="9.140625" hidden="1" customWidth="1"/>
    <col min="34" max="34" width="28.28515625" hidden="1" customWidth="1"/>
    <col min="35" max="35" width="9.140625" hidden="1" customWidth="1"/>
    <col min="36" max="36" width="17.28515625" hidden="1" customWidth="1"/>
    <col min="37" max="37" width="9.140625" hidden="1" customWidth="1"/>
    <col min="38" max="38" width="13.85546875" hidden="1" customWidth="1"/>
  </cols>
  <sheetData>
    <row r="1" spans="1:39" x14ac:dyDescent="0.2">
      <c r="A1" s="742" t="str">
        <f>UPPER((Kalend!E17)&amp;" - "&amp;(Kalend!C17)&amp;" - "&amp;(Kalend!D17))</f>
        <v>4 - VIRU SK 1. LAHTISED MV - DUO</v>
      </c>
      <c r="B1" s="652"/>
      <c r="C1" s="653"/>
      <c r="D1" s="652"/>
      <c r="E1" s="652"/>
      <c r="F1" s="410" t="str">
        <f>HYPERLINK("#Kalend!I1","Kalender")</f>
        <v>Kalender</v>
      </c>
      <c r="G1" s="410"/>
      <c r="H1" s="410"/>
      <c r="I1" s="410"/>
      <c r="J1" s="654" t="str">
        <f>HYPERLINK("#Reit!r1","Reiting")</f>
        <v>Reiting</v>
      </c>
      <c r="K1" s="655"/>
      <c r="L1" s="656"/>
      <c r="M1" s="657"/>
      <c r="N1" s="657"/>
      <c r="O1" s="652"/>
      <c r="P1" s="652"/>
      <c r="Q1" s="655"/>
      <c r="R1" s="655"/>
      <c r="S1" s="655"/>
      <c r="T1" s="656"/>
      <c r="U1" s="656"/>
      <c r="V1" s="656"/>
      <c r="W1" s="652"/>
      <c r="X1" s="658"/>
      <c r="Y1" s="652"/>
      <c r="Z1" s="652"/>
      <c r="AA1" s="652"/>
      <c r="AB1" s="652"/>
      <c r="AD1" s="417" t="s">
        <v>181</v>
      </c>
      <c r="AE1" s="658"/>
      <c r="AF1" s="658"/>
      <c r="AG1" s="658"/>
      <c r="AH1" s="658"/>
      <c r="AI1" s="658"/>
      <c r="AJ1" s="658"/>
      <c r="AK1" s="658"/>
      <c r="AL1" s="658"/>
      <c r="AM1" s="652"/>
    </row>
    <row r="2" spans="1:39" x14ac:dyDescent="0.2">
      <c r="A2" s="659" t="str">
        <f>"Toimumisaeg: "&amp;(Kalend!A17)&amp;" kell "&amp;(Kalend!B17)</f>
        <v>Toimumisaeg: P, 02.06.2019 kell 11:00</v>
      </c>
      <c r="B2" s="652"/>
      <c r="C2" s="652"/>
      <c r="D2" s="652"/>
      <c r="E2" s="652"/>
      <c r="F2" s="652"/>
      <c r="G2" s="652"/>
      <c r="H2" s="652"/>
      <c r="I2" s="652"/>
      <c r="J2" s="652"/>
      <c r="K2" s="652"/>
      <c r="L2" s="657"/>
      <c r="M2" s="657"/>
      <c r="N2" s="657"/>
      <c r="O2" s="652"/>
      <c r="P2" s="652"/>
      <c r="Q2" s="652"/>
      <c r="R2" s="652"/>
      <c r="S2" s="652"/>
      <c r="T2" s="657"/>
      <c r="U2" s="657"/>
      <c r="V2" s="657"/>
      <c r="W2" s="652"/>
      <c r="X2" s="652"/>
      <c r="Y2" s="652"/>
      <c r="Z2" s="652"/>
      <c r="AA2" s="660" t="s">
        <v>358</v>
      </c>
      <c r="AB2" s="652"/>
      <c r="AD2" s="652"/>
      <c r="AE2" s="652"/>
      <c r="AF2" s="652"/>
      <c r="AG2" s="652"/>
      <c r="AH2" s="652"/>
      <c r="AI2" s="652"/>
      <c r="AJ2" s="652"/>
      <c r="AK2" s="652"/>
      <c r="AL2" s="652"/>
      <c r="AM2" s="652"/>
    </row>
    <row r="3" spans="1:39" x14ac:dyDescent="0.2">
      <c r="A3" s="659" t="str">
        <f>"Toimumiskoht: "&amp;(Kalend!F17)</f>
        <v>Toimumiskoht: Voka staadion</v>
      </c>
      <c r="B3" s="652"/>
      <c r="C3" s="652"/>
      <c r="D3" s="652"/>
      <c r="E3" s="652"/>
      <c r="F3" s="652"/>
      <c r="G3" s="661"/>
      <c r="H3" s="661"/>
      <c r="I3" s="662" t="s">
        <v>359</v>
      </c>
      <c r="J3" s="663">
        <v>1</v>
      </c>
      <c r="K3" s="664" t="s">
        <v>360</v>
      </c>
      <c r="L3" s="657"/>
      <c r="M3" s="657"/>
      <c r="N3" s="657"/>
      <c r="O3" s="652"/>
      <c r="P3" s="652"/>
      <c r="Q3" s="652"/>
      <c r="R3" s="652"/>
      <c r="S3" s="652"/>
      <c r="T3" s="657"/>
      <c r="U3" s="657"/>
      <c r="V3" s="657"/>
      <c r="W3" s="652"/>
      <c r="X3" s="652"/>
      <c r="Y3" s="652"/>
      <c r="Z3" s="652"/>
      <c r="AA3" s="652"/>
      <c r="AB3" s="652"/>
      <c r="AD3" s="652"/>
      <c r="AE3" s="652"/>
      <c r="AF3" s="652"/>
      <c r="AG3" s="652"/>
      <c r="AH3" s="652"/>
      <c r="AI3" s="652"/>
      <c r="AJ3" s="652"/>
      <c r="AK3" s="652"/>
      <c r="AL3" s="652"/>
      <c r="AM3" s="652"/>
    </row>
    <row r="4" spans="1:39" x14ac:dyDescent="0.2">
      <c r="A4" s="659" t="str">
        <f>"Korraldaja: "&amp;(Kalend!G17)</f>
        <v>Korraldaja: Johannes Neiland</v>
      </c>
      <c r="B4" s="652"/>
      <c r="C4" s="652"/>
      <c r="D4" s="652"/>
      <c r="E4" s="652"/>
      <c r="F4" s="652"/>
      <c r="G4" s="665"/>
      <c r="H4" s="665"/>
      <c r="I4" s="666" t="s">
        <v>361</v>
      </c>
      <c r="J4" s="663">
        <v>0.5</v>
      </c>
      <c r="K4" s="664" t="s">
        <v>360</v>
      </c>
      <c r="L4" s="652"/>
      <c r="M4" s="652"/>
      <c r="N4" s="652"/>
      <c r="O4" s="652"/>
      <c r="P4" s="652"/>
      <c r="Q4" s="652"/>
      <c r="R4" s="652"/>
      <c r="S4" s="652"/>
      <c r="T4" s="652"/>
      <c r="U4" s="652"/>
      <c r="V4" s="652"/>
      <c r="W4" s="652"/>
      <c r="X4" s="652"/>
      <c r="Y4" s="652"/>
      <c r="Z4" s="652"/>
      <c r="AA4" s="652"/>
      <c r="AB4" s="652"/>
      <c r="AD4" s="667" t="s">
        <v>362</v>
      </c>
      <c r="AE4" s="652"/>
      <c r="AF4" s="652"/>
      <c r="AG4" s="652"/>
      <c r="AH4" s="652"/>
      <c r="AI4" s="652"/>
      <c r="AJ4" s="652"/>
      <c r="AK4" s="652"/>
      <c r="AL4" s="652"/>
      <c r="AM4" s="652"/>
    </row>
    <row r="5" spans="1:39" x14ac:dyDescent="0.2">
      <c r="A5" s="652"/>
      <c r="B5" s="652"/>
      <c r="C5" s="652"/>
      <c r="D5" s="652"/>
      <c r="E5" s="652"/>
      <c r="F5" s="652"/>
      <c r="G5" s="668"/>
      <c r="H5" s="668"/>
      <c r="I5" s="669" t="s">
        <v>363</v>
      </c>
      <c r="J5" s="663">
        <v>0</v>
      </c>
      <c r="K5" s="664" t="s">
        <v>360</v>
      </c>
      <c r="L5" s="652"/>
      <c r="M5" s="652"/>
      <c r="N5" s="652"/>
      <c r="O5" s="652"/>
      <c r="P5" s="652"/>
      <c r="Q5" s="652"/>
      <c r="R5" s="652"/>
      <c r="S5" s="652"/>
      <c r="T5" s="652"/>
      <c r="U5" s="652"/>
      <c r="V5" s="652"/>
      <c r="W5" s="652"/>
      <c r="X5" s="652"/>
      <c r="Y5" s="652"/>
      <c r="Z5" s="652"/>
      <c r="AA5" s="652"/>
      <c r="AB5" s="652"/>
      <c r="AC5" s="652"/>
      <c r="AD5" s="670" t="s">
        <v>24</v>
      </c>
      <c r="AE5" s="671"/>
      <c r="AF5" s="672"/>
      <c r="AG5" s="671"/>
      <c r="AH5" s="673"/>
      <c r="AI5" s="671"/>
      <c r="AJ5" s="671"/>
      <c r="AK5" s="671"/>
      <c r="AL5" s="671"/>
      <c r="AM5" s="652"/>
    </row>
    <row r="6" spans="1:39" x14ac:dyDescent="0.2">
      <c r="A6" s="652"/>
      <c r="B6" s="652"/>
      <c r="C6" s="652"/>
      <c r="D6" s="652"/>
      <c r="E6" s="652"/>
      <c r="F6" s="652"/>
      <c r="G6" s="652"/>
      <c r="H6" s="652"/>
      <c r="I6" s="652"/>
      <c r="J6" s="652"/>
      <c r="K6" s="652"/>
      <c r="L6" s="657"/>
      <c r="M6" s="657"/>
      <c r="N6" s="657"/>
      <c r="O6" s="652"/>
      <c r="P6" s="652"/>
      <c r="Q6" s="652"/>
      <c r="R6" s="652"/>
      <c r="S6" s="652"/>
      <c r="T6" s="657"/>
      <c r="U6" s="657"/>
      <c r="V6" s="657"/>
      <c r="W6" s="652"/>
      <c r="X6" s="652"/>
      <c r="Y6" s="652"/>
      <c r="Z6" s="652"/>
      <c r="AA6" s="652"/>
      <c r="AB6" s="652"/>
      <c r="AC6" s="652"/>
      <c r="AD6" s="670" t="s">
        <v>364</v>
      </c>
      <c r="AE6" s="674"/>
      <c r="AF6" s="674" t="s">
        <v>365</v>
      </c>
      <c r="AG6" s="674"/>
      <c r="AH6" s="675" t="s">
        <v>366</v>
      </c>
      <c r="AI6" s="674"/>
      <c r="AJ6" s="674" t="s">
        <v>367</v>
      </c>
      <c r="AK6" s="676"/>
      <c r="AL6" s="674" t="s">
        <v>368</v>
      </c>
      <c r="AM6" s="652"/>
    </row>
    <row r="7" spans="1:39" x14ac:dyDescent="0.2">
      <c r="A7" s="677" t="s">
        <v>209</v>
      </c>
      <c r="B7" s="677" t="s">
        <v>208</v>
      </c>
      <c r="C7" s="678" t="s">
        <v>369</v>
      </c>
      <c r="D7" s="679"/>
      <c r="E7" s="679"/>
      <c r="F7" s="680"/>
      <c r="G7" s="678" t="s">
        <v>370</v>
      </c>
      <c r="H7" s="679"/>
      <c r="I7" s="679"/>
      <c r="J7" s="680"/>
      <c r="K7" s="678" t="s">
        <v>371</v>
      </c>
      <c r="L7" s="679"/>
      <c r="M7" s="679"/>
      <c r="N7" s="680"/>
      <c r="O7" s="678" t="s">
        <v>372</v>
      </c>
      <c r="P7" s="679"/>
      <c r="Q7" s="679"/>
      <c r="R7" s="680"/>
      <c r="S7" s="678" t="s">
        <v>373</v>
      </c>
      <c r="T7" s="679"/>
      <c r="U7" s="679"/>
      <c r="V7" s="680"/>
      <c r="W7" s="677" t="s">
        <v>199</v>
      </c>
      <c r="X7" s="681" t="s">
        <v>374</v>
      </c>
      <c r="Y7" s="681"/>
      <c r="Z7" s="682" t="s">
        <v>375</v>
      </c>
      <c r="AA7" s="683"/>
      <c r="AB7" s="652"/>
      <c r="AD7" s="670" t="s">
        <v>376</v>
      </c>
      <c r="AE7" s="671"/>
      <c r="AF7" s="672"/>
      <c r="AG7" s="671"/>
      <c r="AH7" s="672"/>
      <c r="AI7" s="684"/>
      <c r="AJ7" s="684"/>
      <c r="AK7" s="684"/>
      <c r="AL7" s="684"/>
      <c r="AM7" s="652"/>
    </row>
    <row r="8" spans="1:39" x14ac:dyDescent="0.2">
      <c r="A8" s="685">
        <v>1</v>
      </c>
      <c r="B8" s="686" t="s">
        <v>469</v>
      </c>
      <c r="C8" s="687">
        <v>12</v>
      </c>
      <c r="D8" s="688" t="s">
        <v>377</v>
      </c>
      <c r="E8" s="689">
        <v>13</v>
      </c>
      <c r="F8" s="690" t="s">
        <v>470</v>
      </c>
      <c r="G8" s="687">
        <v>13</v>
      </c>
      <c r="H8" s="688" t="s">
        <v>377</v>
      </c>
      <c r="I8" s="689">
        <v>2</v>
      </c>
      <c r="J8" s="690" t="s">
        <v>426</v>
      </c>
      <c r="K8" s="687">
        <v>13</v>
      </c>
      <c r="L8" s="688" t="s">
        <v>377</v>
      </c>
      <c r="M8" s="689">
        <v>7</v>
      </c>
      <c r="N8" s="690" t="s">
        <v>396</v>
      </c>
      <c r="O8" s="687">
        <v>13</v>
      </c>
      <c r="P8" s="688" t="s">
        <v>377</v>
      </c>
      <c r="Q8" s="689">
        <v>4</v>
      </c>
      <c r="R8" s="690" t="s">
        <v>471</v>
      </c>
      <c r="S8" s="687">
        <v>13</v>
      </c>
      <c r="T8" s="688" t="s">
        <v>377</v>
      </c>
      <c r="U8" s="689">
        <v>9</v>
      </c>
      <c r="V8" s="690" t="s">
        <v>395</v>
      </c>
      <c r="W8" s="691">
        <f>IF(C8&gt;E8,J$3,IF(C8&lt;E8,J$5,IF(ISNUMBER(C8),J$4,0)))+IF(G8&gt;I8,J$3,IF(G8&lt;I8,J$5,IF(ISNUMBER(G8),J$4,0)))+IF(K8&gt;M8,J$3,IF(K8&lt;M8,J$5,IF(ISNUMBER(K8),J$4,0)))+IF(O8&gt;Q8,J$3,IF(O8&lt;Q8,J$5,IF(ISNUMBER(O8),J$4,0)))+IF(S8&gt;U8,J$3,IF(S8&lt;U8,J$5,IF(ISNUMBER(S8),J$4,0)))</f>
        <v>4</v>
      </c>
      <c r="X8" s="692"/>
      <c r="Y8" s="687">
        <f>C8+G8+K8+O8+S8</f>
        <v>64</v>
      </c>
      <c r="Z8" s="688" t="s">
        <v>377</v>
      </c>
      <c r="AA8" s="693">
        <f>E8+I8+M8+Q8+U8</f>
        <v>35</v>
      </c>
      <c r="AB8" s="694">
        <f>Y8-AA8</f>
        <v>29</v>
      </c>
      <c r="AC8" s="695"/>
      <c r="AD8" s="708">
        <f t="shared" ref="AD8" ca="1" si="0">SUM(AE8:AL8)</f>
        <v>324</v>
      </c>
      <c r="AE8" s="709">
        <f ca="1">IFERROR(INDEX(Reit!I$8:I$64,MATCH(AF8,Reit!F$8:F$64,0)),"")</f>
        <v>258</v>
      </c>
      <c r="AF8" s="710" t="str">
        <f t="shared" ref="AF8" si="1">IFERROR(LEFT(B8,(FIND(",",B8,1)-1)),"")</f>
        <v>Oleg Rõndenkov</v>
      </c>
      <c r="AG8" s="709">
        <f ca="1">IFERROR(INDEX(Reit!I$8:I$64,MATCH(AH8,Reit!F$8:F$64,0)),"")</f>
        <v>66</v>
      </c>
      <c r="AH8" s="710" t="str">
        <f t="shared" ref="AH8" si="2">IFERROR(MID(B8,FIND(", ",B8)+2,256),"")</f>
        <v>Toomas Tedrekull</v>
      </c>
      <c r="AI8" s="709" t="str">
        <f>IFERROR(INDEX(Reit!I$8:I$64,MATCH(AJ8,Reit!F$8:F$64,0)),"")</f>
        <v/>
      </c>
      <c r="AJ8" s="710" t="str">
        <f t="shared" ref="AJ8" si="3">IFERROR(MID(B8,FIND("^",SUBSTITUTE(B8,", ","^",1))+2,FIND("^",SUBSTITUTE(B8,", ","^",2))-FIND("^",SUBSTITUTE(B8,", ","^",1))-2),"")</f>
        <v/>
      </c>
      <c r="AK8" s="709" t="str">
        <f>IFERROR(INDEX(Reit!I$8:I$64,MATCH(AL8,Reit!F$8:F$64,0)),"")</f>
        <v/>
      </c>
      <c r="AL8" s="710" t="str">
        <f t="shared" ref="AL8" si="4">IFERROR(MID(B8,FIND(", ",B8,FIND(", ",B8,FIND(", ",B8))+1)+2,700),"")</f>
        <v/>
      </c>
      <c r="AM8" s="652"/>
    </row>
    <row r="9" spans="1:39" x14ac:dyDescent="0.2">
      <c r="A9" s="685">
        <v>2</v>
      </c>
      <c r="B9" s="686" t="s">
        <v>399</v>
      </c>
      <c r="C9" s="687">
        <v>1</v>
      </c>
      <c r="D9" s="688" t="s">
        <v>377</v>
      </c>
      <c r="E9" s="689">
        <v>13</v>
      </c>
      <c r="F9" s="690" t="s">
        <v>383</v>
      </c>
      <c r="G9" s="687">
        <v>13</v>
      </c>
      <c r="H9" s="688" t="s">
        <v>377</v>
      </c>
      <c r="I9" s="689">
        <v>7</v>
      </c>
      <c r="J9" s="690" t="s">
        <v>472</v>
      </c>
      <c r="K9" s="687">
        <v>13</v>
      </c>
      <c r="L9" s="688" t="s">
        <v>377</v>
      </c>
      <c r="M9" s="689">
        <v>5</v>
      </c>
      <c r="N9" s="690" t="s">
        <v>426</v>
      </c>
      <c r="O9" s="687">
        <v>13</v>
      </c>
      <c r="P9" s="688" t="s">
        <v>377</v>
      </c>
      <c r="Q9" s="689">
        <v>12</v>
      </c>
      <c r="R9" s="690" t="s">
        <v>397</v>
      </c>
      <c r="S9" s="687">
        <v>13</v>
      </c>
      <c r="T9" s="688" t="s">
        <v>377</v>
      </c>
      <c r="U9" s="689">
        <v>12</v>
      </c>
      <c r="V9" s="690" t="s">
        <v>393</v>
      </c>
      <c r="W9" s="691">
        <f t="shared" ref="W9:W19" si="5">IF(C9&gt;E9,J$3,IF(C9&lt;E9,J$5,IF(ISNUMBER(C9),J$4,0)))+IF(G9&gt;I9,J$3,IF(G9&lt;I9,J$5,IF(ISNUMBER(G9),J$4,0)))+IF(K9&gt;M9,J$3,IF(K9&lt;M9,J$5,IF(ISNUMBER(K9),J$4,0)))+IF(O9&gt;Q9,J$3,IF(O9&lt;Q9,J$5,IF(ISNUMBER(O9),J$4,0)))+IF(S9&gt;U9,J$3,IF(S9&lt;U9,J$5,IF(ISNUMBER(S9),J$4,0)))</f>
        <v>4</v>
      </c>
      <c r="X9" s="692"/>
      <c r="Y9" s="687">
        <f t="shared" ref="Y9:Y19" si="6">C9+G9+K9+O9+S9</f>
        <v>53</v>
      </c>
      <c r="Z9" s="688" t="s">
        <v>377</v>
      </c>
      <c r="AA9" s="693">
        <f t="shared" ref="AA9:AA19" si="7">E9+I9+M9+Q9+U9</f>
        <v>49</v>
      </c>
      <c r="AB9" s="694">
        <f t="shared" ref="AB9:AB19" si="8">Y9-AA9</f>
        <v>4</v>
      </c>
      <c r="AC9" s="695"/>
      <c r="AD9" s="708">
        <f t="shared" ref="AD9:AD19" ca="1" si="9">SUM(AE9:AL9)</f>
        <v>211</v>
      </c>
      <c r="AE9" s="709">
        <f ca="1">IFERROR(INDEX(Reit!I$8:I$64,MATCH(AF9,Reit!F$8:F$64,0)),"")</f>
        <v>116</v>
      </c>
      <c r="AF9" s="710" t="str">
        <f t="shared" ref="AF9:AF72" si="10">IFERROR(LEFT(B9,(FIND(",",B9,1)-1)),"")</f>
        <v>Henri Mitt</v>
      </c>
      <c r="AG9" s="709">
        <f ca="1">IFERROR(INDEX(Reit!I$8:I$64,MATCH(AH9,Reit!F$8:F$64,0)),"")</f>
        <v>95</v>
      </c>
      <c r="AH9" s="710" t="str">
        <f t="shared" ref="AH9:AH72" si="11">IFERROR(MID(B9,FIND(", ",B9)+2,256),"")</f>
        <v>Urmas Randlaine</v>
      </c>
      <c r="AI9" s="709" t="str">
        <f>IFERROR(INDEX(Reit!I$8:I$64,MATCH(AJ9,Reit!F$8:F$64,0)),"")</f>
        <v/>
      </c>
      <c r="AJ9" s="710" t="str">
        <f t="shared" ref="AJ9:AJ72" si="12">IFERROR(MID(B9,FIND("^",SUBSTITUTE(B9,", ","^",1))+2,FIND("^",SUBSTITUTE(B9,", ","^",2))-FIND("^",SUBSTITUTE(B9,", ","^",1))-2),"")</f>
        <v/>
      </c>
      <c r="AK9" s="709" t="str">
        <f>IFERROR(INDEX(Reit!I$8:I$64,MATCH(AL9,Reit!F$8:F$64,0)),"")</f>
        <v/>
      </c>
      <c r="AL9" s="710" t="str">
        <f t="shared" ref="AL9:AL72" si="13">IFERROR(MID(B9,FIND(", ",B9,FIND(", ",B9,FIND(", ",B9))+1)+2,700),"")</f>
        <v/>
      </c>
      <c r="AM9" s="652"/>
    </row>
    <row r="10" spans="1:39" x14ac:dyDescent="0.2">
      <c r="A10" s="685">
        <v>3</v>
      </c>
      <c r="B10" s="686" t="s">
        <v>396</v>
      </c>
      <c r="C10" s="687">
        <v>13</v>
      </c>
      <c r="D10" s="688" t="s">
        <v>377</v>
      </c>
      <c r="E10" s="689">
        <v>11</v>
      </c>
      <c r="F10" s="690" t="s">
        <v>397</v>
      </c>
      <c r="G10" s="687">
        <v>13</v>
      </c>
      <c r="H10" s="688" t="s">
        <v>377</v>
      </c>
      <c r="I10" s="689">
        <v>6</v>
      </c>
      <c r="J10" s="690" t="s">
        <v>395</v>
      </c>
      <c r="K10" s="687">
        <v>7</v>
      </c>
      <c r="L10" s="688" t="s">
        <v>377</v>
      </c>
      <c r="M10" s="689">
        <v>13</v>
      </c>
      <c r="N10" s="690" t="s">
        <v>469</v>
      </c>
      <c r="O10" s="687">
        <v>13</v>
      </c>
      <c r="P10" s="688" t="s">
        <v>377</v>
      </c>
      <c r="Q10" s="689">
        <v>8</v>
      </c>
      <c r="R10" s="690" t="s">
        <v>470</v>
      </c>
      <c r="S10" s="687">
        <v>13</v>
      </c>
      <c r="T10" s="688" t="s">
        <v>377</v>
      </c>
      <c r="U10" s="689">
        <v>7</v>
      </c>
      <c r="V10" s="690" t="s">
        <v>471</v>
      </c>
      <c r="W10" s="691">
        <f t="shared" si="5"/>
        <v>4</v>
      </c>
      <c r="X10" s="692"/>
      <c r="Y10" s="687">
        <f t="shared" si="6"/>
        <v>59</v>
      </c>
      <c r="Z10" s="688" t="s">
        <v>377</v>
      </c>
      <c r="AA10" s="693">
        <f t="shared" si="7"/>
        <v>45</v>
      </c>
      <c r="AB10" s="694">
        <f t="shared" si="8"/>
        <v>14</v>
      </c>
      <c r="AC10" s="695"/>
      <c r="AD10" s="708">
        <f t="shared" ca="1" si="9"/>
        <v>640</v>
      </c>
      <c r="AE10" s="709">
        <f ca="1">IFERROR(INDEX(Reit!I$8:I$64,MATCH(AF10,Reit!F$8:F$64,0)),"")</f>
        <v>310</v>
      </c>
      <c r="AF10" s="710" t="str">
        <f t="shared" si="10"/>
        <v>Jaan Sepp</v>
      </c>
      <c r="AG10" s="709">
        <f ca="1">IFERROR(INDEX(Reit!I$8:I$64,MATCH(AH10,Reit!F$8:F$64,0)),"")</f>
        <v>330</v>
      </c>
      <c r="AH10" s="710" t="str">
        <f t="shared" si="11"/>
        <v>Oskar Sepp</v>
      </c>
      <c r="AI10" s="709" t="str">
        <f>IFERROR(INDEX(Reit!I$8:I$64,MATCH(AJ10,Reit!F$8:F$64,0)),"")</f>
        <v/>
      </c>
      <c r="AJ10" s="710" t="str">
        <f t="shared" si="12"/>
        <v/>
      </c>
      <c r="AK10" s="709" t="str">
        <f>IFERROR(INDEX(Reit!I$8:I$64,MATCH(AL10,Reit!F$8:F$64,0)),"")</f>
        <v/>
      </c>
      <c r="AL10" s="710" t="str">
        <f t="shared" si="13"/>
        <v/>
      </c>
      <c r="AM10" s="652"/>
    </row>
    <row r="11" spans="1:39" x14ac:dyDescent="0.2">
      <c r="A11" s="685">
        <v>4</v>
      </c>
      <c r="B11" s="686" t="s">
        <v>395</v>
      </c>
      <c r="C11" s="687">
        <v>13</v>
      </c>
      <c r="D11" s="688" t="s">
        <v>377</v>
      </c>
      <c r="E11" s="689">
        <v>3</v>
      </c>
      <c r="F11" s="690" t="s">
        <v>393</v>
      </c>
      <c r="G11" s="687">
        <v>6</v>
      </c>
      <c r="H11" s="688" t="s">
        <v>377</v>
      </c>
      <c r="I11" s="689">
        <v>13</v>
      </c>
      <c r="J11" s="690" t="s">
        <v>396</v>
      </c>
      <c r="K11" s="687">
        <v>13</v>
      </c>
      <c r="L11" s="688" t="s">
        <v>377</v>
      </c>
      <c r="M11" s="689">
        <v>7</v>
      </c>
      <c r="N11" s="690" t="s">
        <v>392</v>
      </c>
      <c r="O11" s="687">
        <v>13</v>
      </c>
      <c r="P11" s="688" t="s">
        <v>377</v>
      </c>
      <c r="Q11" s="689">
        <v>7</v>
      </c>
      <c r="R11" s="690" t="s">
        <v>383</v>
      </c>
      <c r="S11" s="687">
        <v>9</v>
      </c>
      <c r="T11" s="688" t="s">
        <v>377</v>
      </c>
      <c r="U11" s="689">
        <v>13</v>
      </c>
      <c r="V11" s="690" t="s">
        <v>469</v>
      </c>
      <c r="W11" s="691">
        <f t="shared" si="5"/>
        <v>3</v>
      </c>
      <c r="X11" s="692"/>
      <c r="Y11" s="687">
        <f t="shared" si="6"/>
        <v>54</v>
      </c>
      <c r="Z11" s="688" t="s">
        <v>377</v>
      </c>
      <c r="AA11" s="693">
        <f t="shared" si="7"/>
        <v>43</v>
      </c>
      <c r="AB11" s="694">
        <f t="shared" si="8"/>
        <v>11</v>
      </c>
      <c r="AC11" s="695"/>
      <c r="AD11" s="708">
        <f t="shared" ca="1" si="9"/>
        <v>394</v>
      </c>
      <c r="AE11" s="709">
        <f ca="1">IFERROR(INDEX(Reit!I$8:I$64,MATCH(AF11,Reit!F$8:F$64,0)),"")</f>
        <v>234</v>
      </c>
      <c r="AF11" s="710" t="str">
        <f t="shared" si="10"/>
        <v>Andres Veski</v>
      </c>
      <c r="AG11" s="709">
        <f ca="1">IFERROR(INDEX(Reit!I$8:I$64,MATCH(AH11,Reit!F$8:F$64,0)),"")</f>
        <v>160</v>
      </c>
      <c r="AH11" s="710" t="str">
        <f t="shared" si="11"/>
        <v>Svetlana Veski</v>
      </c>
      <c r="AI11" s="709" t="str">
        <f>IFERROR(INDEX(Reit!I$8:I$64,MATCH(AJ11,Reit!F$8:F$64,0)),"")</f>
        <v/>
      </c>
      <c r="AJ11" s="710" t="str">
        <f t="shared" si="12"/>
        <v/>
      </c>
      <c r="AK11" s="709" t="str">
        <f>IFERROR(INDEX(Reit!I$8:I$64,MATCH(AL11,Reit!F$8:F$64,0)),"")</f>
        <v/>
      </c>
      <c r="AL11" s="710" t="str">
        <f t="shared" si="13"/>
        <v/>
      </c>
      <c r="AM11" s="652"/>
    </row>
    <row r="12" spans="1:39" x14ac:dyDescent="0.2">
      <c r="A12" s="685">
        <v>5</v>
      </c>
      <c r="B12" s="686" t="s">
        <v>471</v>
      </c>
      <c r="C12" s="687">
        <v>13</v>
      </c>
      <c r="D12" s="688" t="s">
        <v>377</v>
      </c>
      <c r="E12" s="689">
        <v>3</v>
      </c>
      <c r="F12" s="690" t="s">
        <v>472</v>
      </c>
      <c r="G12" s="687">
        <v>13</v>
      </c>
      <c r="H12" s="688" t="s">
        <v>377</v>
      </c>
      <c r="I12" s="689">
        <v>8</v>
      </c>
      <c r="J12" s="690" t="s">
        <v>383</v>
      </c>
      <c r="K12" s="687">
        <v>13</v>
      </c>
      <c r="L12" s="688" t="s">
        <v>377</v>
      </c>
      <c r="M12" s="689">
        <v>7</v>
      </c>
      <c r="N12" s="690" t="s">
        <v>470</v>
      </c>
      <c r="O12" s="687">
        <v>4</v>
      </c>
      <c r="P12" s="688" t="s">
        <v>377</v>
      </c>
      <c r="Q12" s="689">
        <v>13</v>
      </c>
      <c r="R12" s="690" t="s">
        <v>469</v>
      </c>
      <c r="S12" s="687">
        <v>7</v>
      </c>
      <c r="T12" s="688" t="s">
        <v>377</v>
      </c>
      <c r="U12" s="689">
        <v>13</v>
      </c>
      <c r="V12" s="690" t="s">
        <v>396</v>
      </c>
      <c r="W12" s="691">
        <f t="shared" si="5"/>
        <v>3</v>
      </c>
      <c r="X12" s="692"/>
      <c r="Y12" s="687">
        <f t="shared" si="6"/>
        <v>50</v>
      </c>
      <c r="Z12" s="688" t="s">
        <v>377</v>
      </c>
      <c r="AA12" s="693">
        <f t="shared" si="7"/>
        <v>44</v>
      </c>
      <c r="AB12" s="694">
        <f t="shared" si="8"/>
        <v>6</v>
      </c>
      <c r="AC12" s="695"/>
      <c r="AD12" s="708">
        <f t="shared" ca="1" si="9"/>
        <v>360</v>
      </c>
      <c r="AE12" s="709">
        <f ca="1">IFERROR(INDEX(Reit!I$8:I$64,MATCH(AF12,Reit!F$8:F$64,0)),"")</f>
        <v>132</v>
      </c>
      <c r="AF12" s="710" t="str">
        <f t="shared" si="10"/>
        <v>Argo Sepp</v>
      </c>
      <c r="AG12" s="709">
        <f ca="1">IFERROR(INDEX(Reit!I$8:I$64,MATCH(AH12,Reit!F$8:F$64,0)),"")</f>
        <v>228</v>
      </c>
      <c r="AH12" s="710" t="str">
        <f t="shared" si="11"/>
        <v>Mait Metsla</v>
      </c>
      <c r="AI12" s="709" t="str">
        <f>IFERROR(INDEX(Reit!I$8:I$64,MATCH(AJ12,Reit!F$8:F$64,0)),"")</f>
        <v/>
      </c>
      <c r="AJ12" s="710" t="str">
        <f t="shared" si="12"/>
        <v/>
      </c>
      <c r="AK12" s="709" t="str">
        <f>IFERROR(INDEX(Reit!I$8:I$64,MATCH(AL12,Reit!F$8:F$64,0)),"")</f>
        <v/>
      </c>
      <c r="AL12" s="710" t="str">
        <f t="shared" si="13"/>
        <v/>
      </c>
      <c r="AM12" s="652"/>
    </row>
    <row r="13" spans="1:39" x14ac:dyDescent="0.2">
      <c r="A13" s="685">
        <v>6</v>
      </c>
      <c r="B13" s="686" t="s">
        <v>383</v>
      </c>
      <c r="C13" s="687">
        <v>13</v>
      </c>
      <c r="D13" s="688" t="s">
        <v>377</v>
      </c>
      <c r="E13" s="689">
        <v>1</v>
      </c>
      <c r="F13" s="690" t="s">
        <v>399</v>
      </c>
      <c r="G13" s="687">
        <v>8</v>
      </c>
      <c r="H13" s="688" t="s">
        <v>377</v>
      </c>
      <c r="I13" s="689">
        <v>13</v>
      </c>
      <c r="J13" s="690" t="s">
        <v>471</v>
      </c>
      <c r="K13" s="687">
        <v>13</v>
      </c>
      <c r="L13" s="688" t="s">
        <v>377</v>
      </c>
      <c r="M13" s="689">
        <v>11</v>
      </c>
      <c r="N13" s="690" t="s">
        <v>397</v>
      </c>
      <c r="O13" s="687">
        <v>7</v>
      </c>
      <c r="P13" s="688" t="s">
        <v>377</v>
      </c>
      <c r="Q13" s="689">
        <v>13</v>
      </c>
      <c r="R13" s="690" t="s">
        <v>395</v>
      </c>
      <c r="S13" s="687">
        <v>13</v>
      </c>
      <c r="T13" s="688" t="s">
        <v>377</v>
      </c>
      <c r="U13" s="689">
        <v>9</v>
      </c>
      <c r="V13" s="690" t="s">
        <v>470</v>
      </c>
      <c r="W13" s="691">
        <f t="shared" si="5"/>
        <v>3</v>
      </c>
      <c r="X13" s="692"/>
      <c r="Y13" s="687">
        <f t="shared" si="6"/>
        <v>54</v>
      </c>
      <c r="Z13" s="688" t="s">
        <v>377</v>
      </c>
      <c r="AA13" s="693">
        <f t="shared" si="7"/>
        <v>47</v>
      </c>
      <c r="AB13" s="694">
        <f t="shared" si="8"/>
        <v>7</v>
      </c>
      <c r="AC13" s="695"/>
      <c r="AD13" s="708">
        <f t="shared" ca="1" si="9"/>
        <v>508</v>
      </c>
      <c r="AE13" s="709">
        <f ca="1">IFERROR(INDEX(Reit!I$8:I$64,MATCH(AF13,Reit!F$8:F$64,0)),"")</f>
        <v>258</v>
      </c>
      <c r="AF13" s="710" t="str">
        <f t="shared" si="10"/>
        <v>Elmo Lageda</v>
      </c>
      <c r="AG13" s="709">
        <f ca="1">IFERROR(INDEX(Reit!I$8:I$64,MATCH(AH13,Reit!F$8:F$64,0)),"")</f>
        <v>250</v>
      </c>
      <c r="AH13" s="710" t="str">
        <f t="shared" si="11"/>
        <v>Tõnu Piik</v>
      </c>
      <c r="AI13" s="709" t="str">
        <f>IFERROR(INDEX(Reit!I$8:I$64,MATCH(AJ13,Reit!F$8:F$64,0)),"")</f>
        <v/>
      </c>
      <c r="AJ13" s="710" t="str">
        <f t="shared" si="12"/>
        <v/>
      </c>
      <c r="AK13" s="709" t="str">
        <f>IFERROR(INDEX(Reit!I$8:I$64,MATCH(AL13,Reit!F$8:F$64,0)),"")</f>
        <v/>
      </c>
      <c r="AL13" s="710" t="str">
        <f t="shared" si="13"/>
        <v/>
      </c>
      <c r="AM13" s="652"/>
    </row>
    <row r="14" spans="1:39" x14ac:dyDescent="0.2">
      <c r="A14" s="685">
        <v>7</v>
      </c>
      <c r="B14" s="696" t="s">
        <v>470</v>
      </c>
      <c r="C14" s="687">
        <v>13</v>
      </c>
      <c r="D14" s="688" t="s">
        <v>377</v>
      </c>
      <c r="E14" s="689">
        <v>12</v>
      </c>
      <c r="F14" s="690" t="s">
        <v>469</v>
      </c>
      <c r="G14" s="687">
        <v>13</v>
      </c>
      <c r="H14" s="688" t="s">
        <v>377</v>
      </c>
      <c r="I14" s="689">
        <v>4</v>
      </c>
      <c r="J14" s="690" t="s">
        <v>392</v>
      </c>
      <c r="K14" s="687">
        <v>7</v>
      </c>
      <c r="L14" s="688" t="s">
        <v>377</v>
      </c>
      <c r="M14" s="689">
        <v>13</v>
      </c>
      <c r="N14" s="690" t="s">
        <v>471</v>
      </c>
      <c r="O14" s="687">
        <v>8</v>
      </c>
      <c r="P14" s="688" t="s">
        <v>377</v>
      </c>
      <c r="Q14" s="689">
        <v>13</v>
      </c>
      <c r="R14" s="690" t="s">
        <v>396</v>
      </c>
      <c r="S14" s="687">
        <v>9</v>
      </c>
      <c r="T14" s="688" t="s">
        <v>377</v>
      </c>
      <c r="U14" s="689">
        <v>13</v>
      </c>
      <c r="V14" s="690" t="s">
        <v>383</v>
      </c>
      <c r="W14" s="691">
        <f t="shared" si="5"/>
        <v>2</v>
      </c>
      <c r="X14" s="692"/>
      <c r="Y14" s="687">
        <f t="shared" si="6"/>
        <v>50</v>
      </c>
      <c r="Z14" s="688" t="s">
        <v>377</v>
      </c>
      <c r="AA14" s="693">
        <f t="shared" si="7"/>
        <v>55</v>
      </c>
      <c r="AB14" s="694">
        <f t="shared" si="8"/>
        <v>-5</v>
      </c>
      <c r="AC14" s="695"/>
      <c r="AD14" s="708">
        <f t="shared" ca="1" si="9"/>
        <v>385</v>
      </c>
      <c r="AE14" s="709">
        <f ca="1">IFERROR(INDEX(Reit!I$8:I$64,MATCH(AF14,Reit!F$8:F$64,0)),"")</f>
        <v>364</v>
      </c>
      <c r="AF14" s="710" t="str">
        <f t="shared" si="10"/>
        <v>Ivar Viljaste</v>
      </c>
      <c r="AG14" s="709">
        <f ca="1">IFERROR(INDEX(Reit!I$8:I$64,MATCH(AH14,Reit!F$8:F$64,0)),"")</f>
        <v>21</v>
      </c>
      <c r="AH14" s="710" t="str">
        <f t="shared" si="11"/>
        <v>Sirje Viljaste</v>
      </c>
      <c r="AI14" s="709" t="str">
        <f>IFERROR(INDEX(Reit!I$8:I$64,MATCH(AJ14,Reit!F$8:F$64,0)),"")</f>
        <v/>
      </c>
      <c r="AJ14" s="710" t="str">
        <f t="shared" si="12"/>
        <v/>
      </c>
      <c r="AK14" s="709" t="str">
        <f>IFERROR(INDEX(Reit!I$8:I$64,MATCH(AL14,Reit!F$8:F$64,0)),"")</f>
        <v/>
      </c>
      <c r="AL14" s="710" t="str">
        <f t="shared" si="13"/>
        <v/>
      </c>
      <c r="AM14" s="652"/>
    </row>
    <row r="15" spans="1:39" x14ac:dyDescent="0.2">
      <c r="A15" s="685">
        <v>8</v>
      </c>
      <c r="B15" s="696" t="s">
        <v>393</v>
      </c>
      <c r="C15" s="687">
        <v>3</v>
      </c>
      <c r="D15" s="688" t="s">
        <v>377</v>
      </c>
      <c r="E15" s="689">
        <v>13</v>
      </c>
      <c r="F15" s="690" t="s">
        <v>395</v>
      </c>
      <c r="G15" s="687">
        <v>7</v>
      </c>
      <c r="H15" s="688" t="s">
        <v>377</v>
      </c>
      <c r="I15" s="689">
        <v>13</v>
      </c>
      <c r="J15" s="690" t="s">
        <v>397</v>
      </c>
      <c r="K15" s="687">
        <v>13</v>
      </c>
      <c r="L15" s="688" t="s">
        <v>377</v>
      </c>
      <c r="M15" s="689">
        <v>9</v>
      </c>
      <c r="N15" s="690" t="s">
        <v>472</v>
      </c>
      <c r="O15" s="687">
        <v>13</v>
      </c>
      <c r="P15" s="688" t="s">
        <v>377</v>
      </c>
      <c r="Q15" s="689">
        <v>11</v>
      </c>
      <c r="R15" s="690" t="s">
        <v>392</v>
      </c>
      <c r="S15" s="687">
        <v>12</v>
      </c>
      <c r="T15" s="688" t="s">
        <v>377</v>
      </c>
      <c r="U15" s="689">
        <v>13</v>
      </c>
      <c r="V15" s="690" t="s">
        <v>399</v>
      </c>
      <c r="W15" s="691">
        <f t="shared" si="5"/>
        <v>2</v>
      </c>
      <c r="X15" s="692"/>
      <c r="Y15" s="687">
        <f t="shared" si="6"/>
        <v>48</v>
      </c>
      <c r="Z15" s="688" t="s">
        <v>377</v>
      </c>
      <c r="AA15" s="693">
        <f t="shared" si="7"/>
        <v>59</v>
      </c>
      <c r="AB15" s="694">
        <f t="shared" si="8"/>
        <v>-11</v>
      </c>
      <c r="AC15" s="695"/>
      <c r="AD15" s="708">
        <f t="shared" ca="1" si="9"/>
        <v>358</v>
      </c>
      <c r="AE15" s="709">
        <f ca="1">IFERROR(INDEX(Reit!I$8:I$64,MATCH(AF15,Reit!F$8:F$64,0)),"")</f>
        <v>168</v>
      </c>
      <c r="AF15" s="710" t="str">
        <f t="shared" si="10"/>
        <v>Andrei Grintšak</v>
      </c>
      <c r="AG15" s="709">
        <f ca="1">IFERROR(INDEX(Reit!I$8:I$64,MATCH(AH15,Reit!F$8:F$64,0)),"")</f>
        <v>190</v>
      </c>
      <c r="AH15" s="710" t="str">
        <f t="shared" si="11"/>
        <v>Boriss Klubov</v>
      </c>
      <c r="AI15" s="709" t="str">
        <f>IFERROR(INDEX(Reit!I$8:I$64,MATCH(AJ15,Reit!F$8:F$64,0)),"")</f>
        <v/>
      </c>
      <c r="AJ15" s="710" t="str">
        <f t="shared" si="12"/>
        <v/>
      </c>
      <c r="AK15" s="709" t="str">
        <f>IFERROR(INDEX(Reit!I$8:I$64,MATCH(AL15,Reit!F$8:F$64,0)),"")</f>
        <v/>
      </c>
      <c r="AL15" s="710" t="str">
        <f t="shared" si="13"/>
        <v/>
      </c>
      <c r="AM15" s="652"/>
    </row>
    <row r="16" spans="1:39" x14ac:dyDescent="0.2">
      <c r="A16" s="685">
        <v>9</v>
      </c>
      <c r="B16" s="686" t="s">
        <v>392</v>
      </c>
      <c r="C16" s="687">
        <v>13</v>
      </c>
      <c r="D16" s="688" t="s">
        <v>377</v>
      </c>
      <c r="E16" s="689">
        <v>12</v>
      </c>
      <c r="F16" s="690" t="s">
        <v>426</v>
      </c>
      <c r="G16" s="687">
        <v>4</v>
      </c>
      <c r="H16" s="688" t="s">
        <v>377</v>
      </c>
      <c r="I16" s="689">
        <v>13</v>
      </c>
      <c r="J16" s="690" t="s">
        <v>470</v>
      </c>
      <c r="K16" s="687">
        <v>7</v>
      </c>
      <c r="L16" s="688" t="s">
        <v>377</v>
      </c>
      <c r="M16" s="689">
        <v>13</v>
      </c>
      <c r="N16" s="690" t="s">
        <v>395</v>
      </c>
      <c r="O16" s="687">
        <v>11</v>
      </c>
      <c r="P16" s="688" t="s">
        <v>377</v>
      </c>
      <c r="Q16" s="689">
        <v>13</v>
      </c>
      <c r="R16" s="690" t="s">
        <v>393</v>
      </c>
      <c r="S16" s="687">
        <v>13</v>
      </c>
      <c r="T16" s="688" t="s">
        <v>377</v>
      </c>
      <c r="U16" s="689">
        <v>8</v>
      </c>
      <c r="V16" s="690" t="s">
        <v>472</v>
      </c>
      <c r="W16" s="691">
        <f t="shared" si="5"/>
        <v>2</v>
      </c>
      <c r="X16" s="692"/>
      <c r="Y16" s="687">
        <f t="shared" si="6"/>
        <v>48</v>
      </c>
      <c r="Z16" s="688" t="s">
        <v>377</v>
      </c>
      <c r="AA16" s="693">
        <f t="shared" si="7"/>
        <v>59</v>
      </c>
      <c r="AB16" s="694">
        <f t="shared" si="8"/>
        <v>-11</v>
      </c>
      <c r="AC16" s="695"/>
      <c r="AD16" s="708">
        <f t="shared" ca="1" si="9"/>
        <v>420</v>
      </c>
      <c r="AE16" s="709">
        <f ca="1">IFERROR(INDEX(Reit!I$8:I$64,MATCH(AF16,Reit!F$8:F$64,0)),"")</f>
        <v>196</v>
      </c>
      <c r="AF16" s="710" t="str">
        <f t="shared" si="10"/>
        <v>Aarne Välja</v>
      </c>
      <c r="AG16" s="709">
        <f ca="1">IFERROR(INDEX(Reit!I$8:I$64,MATCH(AH16,Reit!F$8:F$64,0)),"")</f>
        <v>224</v>
      </c>
      <c r="AH16" s="710" t="str">
        <f t="shared" si="11"/>
        <v>Janek Tarto</v>
      </c>
      <c r="AI16" s="709" t="str">
        <f>IFERROR(INDEX(Reit!I$8:I$64,MATCH(AJ16,Reit!F$8:F$64,0)),"")</f>
        <v/>
      </c>
      <c r="AJ16" s="710" t="str">
        <f t="shared" si="12"/>
        <v/>
      </c>
      <c r="AK16" s="709" t="str">
        <f>IFERROR(INDEX(Reit!I$8:I$64,MATCH(AL16,Reit!F$8:F$64,0)),"")</f>
        <v/>
      </c>
      <c r="AL16" s="710" t="str">
        <f t="shared" si="13"/>
        <v/>
      </c>
      <c r="AM16" s="652"/>
    </row>
    <row r="17" spans="1:39" x14ac:dyDescent="0.2">
      <c r="A17" s="685">
        <v>10</v>
      </c>
      <c r="B17" s="686" t="s">
        <v>426</v>
      </c>
      <c r="C17" s="687">
        <v>12</v>
      </c>
      <c r="D17" s="688" t="s">
        <v>377</v>
      </c>
      <c r="E17" s="689">
        <v>13</v>
      </c>
      <c r="F17" s="690" t="s">
        <v>392</v>
      </c>
      <c r="G17" s="687">
        <v>2</v>
      </c>
      <c r="H17" s="688" t="s">
        <v>377</v>
      </c>
      <c r="I17" s="689">
        <v>13</v>
      </c>
      <c r="J17" s="690" t="s">
        <v>469</v>
      </c>
      <c r="K17" s="687">
        <v>5</v>
      </c>
      <c r="L17" s="688" t="s">
        <v>377</v>
      </c>
      <c r="M17" s="689">
        <v>13</v>
      </c>
      <c r="N17" s="690" t="s">
        <v>399</v>
      </c>
      <c r="O17" s="687">
        <v>13</v>
      </c>
      <c r="P17" s="688" t="s">
        <v>377</v>
      </c>
      <c r="Q17" s="689">
        <v>4</v>
      </c>
      <c r="R17" s="690" t="s">
        <v>472</v>
      </c>
      <c r="S17" s="687">
        <v>13</v>
      </c>
      <c r="T17" s="688" t="s">
        <v>377</v>
      </c>
      <c r="U17" s="689">
        <v>11</v>
      </c>
      <c r="V17" s="690" t="s">
        <v>397</v>
      </c>
      <c r="W17" s="691">
        <f t="shared" si="5"/>
        <v>2</v>
      </c>
      <c r="X17" s="692"/>
      <c r="Y17" s="687">
        <f t="shared" si="6"/>
        <v>45</v>
      </c>
      <c r="Z17" s="688" t="s">
        <v>377</v>
      </c>
      <c r="AA17" s="693">
        <f t="shared" si="7"/>
        <v>54</v>
      </c>
      <c r="AB17" s="694">
        <f t="shared" si="8"/>
        <v>-9</v>
      </c>
      <c r="AC17" s="695"/>
      <c r="AD17" s="708">
        <f t="shared" ca="1" si="9"/>
        <v>315</v>
      </c>
      <c r="AE17" s="709">
        <f ca="1">IFERROR(INDEX(Reit!I$8:I$64,MATCH(AF17,Reit!F$8:F$64,0)),"")</f>
        <v>258</v>
      </c>
      <c r="AF17" s="710" t="str">
        <f t="shared" si="10"/>
        <v>Kenneth Muusikus</v>
      </c>
      <c r="AG17" s="709">
        <f ca="1">IFERROR(INDEX(Reit!I$8:I$64,MATCH(AH17,Reit!F$8:F$64,0)),"")</f>
        <v>57</v>
      </c>
      <c r="AH17" s="710" t="str">
        <f t="shared" si="11"/>
        <v>Sandra Laura Nõmmeloo</v>
      </c>
      <c r="AI17" s="709" t="str">
        <f>IFERROR(INDEX(Reit!I$8:I$64,MATCH(AJ17,Reit!F$8:F$64,0)),"")</f>
        <v/>
      </c>
      <c r="AJ17" s="710" t="str">
        <f t="shared" si="12"/>
        <v/>
      </c>
      <c r="AK17" s="709" t="str">
        <f>IFERROR(INDEX(Reit!I$8:I$64,MATCH(AL17,Reit!F$8:F$64,0)),"")</f>
        <v/>
      </c>
      <c r="AL17" s="710" t="str">
        <f t="shared" si="13"/>
        <v/>
      </c>
      <c r="AM17" s="652"/>
    </row>
    <row r="18" spans="1:39" x14ac:dyDescent="0.2">
      <c r="A18" s="685">
        <v>11</v>
      </c>
      <c r="B18" s="696" t="s">
        <v>397</v>
      </c>
      <c r="C18" s="687">
        <v>11</v>
      </c>
      <c r="D18" s="688" t="s">
        <v>377</v>
      </c>
      <c r="E18" s="689">
        <v>13</v>
      </c>
      <c r="F18" s="690" t="s">
        <v>396</v>
      </c>
      <c r="G18" s="687">
        <v>13</v>
      </c>
      <c r="H18" s="688" t="s">
        <v>377</v>
      </c>
      <c r="I18" s="689">
        <v>7</v>
      </c>
      <c r="J18" s="690" t="s">
        <v>393</v>
      </c>
      <c r="K18" s="687">
        <v>11</v>
      </c>
      <c r="L18" s="688" t="s">
        <v>377</v>
      </c>
      <c r="M18" s="689">
        <v>13</v>
      </c>
      <c r="N18" s="690" t="s">
        <v>383</v>
      </c>
      <c r="O18" s="687">
        <v>12</v>
      </c>
      <c r="P18" s="688" t="s">
        <v>377</v>
      </c>
      <c r="Q18" s="689">
        <v>13</v>
      </c>
      <c r="R18" s="690" t="s">
        <v>399</v>
      </c>
      <c r="S18" s="687">
        <v>11</v>
      </c>
      <c r="T18" s="688" t="s">
        <v>377</v>
      </c>
      <c r="U18" s="689">
        <v>13</v>
      </c>
      <c r="V18" s="690" t="s">
        <v>426</v>
      </c>
      <c r="W18" s="691">
        <f t="shared" si="5"/>
        <v>1</v>
      </c>
      <c r="X18" s="692"/>
      <c r="Y18" s="687">
        <f t="shared" si="6"/>
        <v>58</v>
      </c>
      <c r="Z18" s="688" t="s">
        <v>377</v>
      </c>
      <c r="AA18" s="693">
        <f t="shared" si="7"/>
        <v>59</v>
      </c>
      <c r="AB18" s="694">
        <f t="shared" si="8"/>
        <v>-1</v>
      </c>
      <c r="AC18" s="695"/>
      <c r="AD18" s="708">
        <f t="shared" ca="1" si="9"/>
        <v>90</v>
      </c>
      <c r="AE18" s="709">
        <f ca="1">IFERROR(INDEX(Reit!I$8:I$64,MATCH(AF18,Reit!F$8:F$64,0)),"")</f>
        <v>39</v>
      </c>
      <c r="AF18" s="710" t="str">
        <f t="shared" si="10"/>
        <v>Illar Tõnurist</v>
      </c>
      <c r="AG18" s="709">
        <f ca="1">IFERROR(INDEX(Reit!I$8:I$64,MATCH(AH18,Reit!F$8:F$64,0)),"")</f>
        <v>51</v>
      </c>
      <c r="AH18" s="710" t="str">
        <f t="shared" si="11"/>
        <v>Jaan Saar</v>
      </c>
      <c r="AI18" s="709" t="str">
        <f>IFERROR(INDEX(Reit!I$8:I$64,MATCH(AJ18,Reit!F$8:F$64,0)),"")</f>
        <v/>
      </c>
      <c r="AJ18" s="710" t="str">
        <f t="shared" si="12"/>
        <v/>
      </c>
      <c r="AK18" s="709" t="str">
        <f>IFERROR(INDEX(Reit!I$8:I$64,MATCH(AL18,Reit!F$8:F$64,0)),"")</f>
        <v/>
      </c>
      <c r="AL18" s="710" t="str">
        <f t="shared" si="13"/>
        <v/>
      </c>
      <c r="AM18" s="652"/>
    </row>
    <row r="19" spans="1:39" x14ac:dyDescent="0.2">
      <c r="A19" s="685">
        <v>12</v>
      </c>
      <c r="B19" s="696" t="s">
        <v>472</v>
      </c>
      <c r="C19" s="687">
        <v>3</v>
      </c>
      <c r="D19" s="688" t="s">
        <v>377</v>
      </c>
      <c r="E19" s="689">
        <v>13</v>
      </c>
      <c r="F19" s="690" t="s">
        <v>471</v>
      </c>
      <c r="G19" s="687">
        <v>7</v>
      </c>
      <c r="H19" s="688" t="s">
        <v>377</v>
      </c>
      <c r="I19" s="689">
        <v>13</v>
      </c>
      <c r="J19" s="690" t="s">
        <v>399</v>
      </c>
      <c r="K19" s="687">
        <v>9</v>
      </c>
      <c r="L19" s="688" t="s">
        <v>377</v>
      </c>
      <c r="M19" s="689">
        <v>13</v>
      </c>
      <c r="N19" s="690" t="s">
        <v>393</v>
      </c>
      <c r="O19" s="687">
        <v>4</v>
      </c>
      <c r="P19" s="688" t="s">
        <v>377</v>
      </c>
      <c r="Q19" s="689">
        <v>13</v>
      </c>
      <c r="R19" s="690" t="s">
        <v>426</v>
      </c>
      <c r="S19" s="687">
        <v>8</v>
      </c>
      <c r="T19" s="688" t="s">
        <v>377</v>
      </c>
      <c r="U19" s="689">
        <v>13</v>
      </c>
      <c r="V19" s="690" t="s">
        <v>392</v>
      </c>
      <c r="W19" s="691">
        <f t="shared" si="5"/>
        <v>0</v>
      </c>
      <c r="X19" s="692"/>
      <c r="Y19" s="687">
        <f t="shared" si="6"/>
        <v>31</v>
      </c>
      <c r="Z19" s="688" t="s">
        <v>377</v>
      </c>
      <c r="AA19" s="693">
        <f t="shared" si="7"/>
        <v>65</v>
      </c>
      <c r="AB19" s="694">
        <f t="shared" si="8"/>
        <v>-34</v>
      </c>
      <c r="AC19" s="695"/>
      <c r="AD19" s="708">
        <f t="shared" ca="1" si="9"/>
        <v>223</v>
      </c>
      <c r="AE19" s="709">
        <f ca="1">IFERROR(INDEX(Reit!I$8:I$64,MATCH(AF19,Reit!F$8:F$64,0)),"")</f>
        <v>80</v>
      </c>
      <c r="AF19" s="710" t="str">
        <f t="shared" si="10"/>
        <v>Enn Tokman</v>
      </c>
      <c r="AG19" s="709" t="str">
        <f>IFERROR(INDEX(Reit!I$8:I$64,MATCH(AH19,Reit!F$8:F$64,0)),"")</f>
        <v/>
      </c>
      <c r="AH19" s="710" t="str">
        <f t="shared" si="11"/>
        <v>Johannes Neiland, Kaspar Mänd</v>
      </c>
      <c r="AI19" s="709">
        <f ca="1">IFERROR(INDEX(Reit!I$8:I$64,MATCH(AJ19,Reit!F$8:F$64,0)),"")</f>
        <v>86</v>
      </c>
      <c r="AJ19" s="710" t="str">
        <f t="shared" si="12"/>
        <v>Johannes Neiland</v>
      </c>
      <c r="AK19" s="709">
        <f ca="1">IFERROR(INDEX(Reit!I$8:I$64,MATCH(AL19,Reit!F$8:F$64,0)),"")</f>
        <v>57</v>
      </c>
      <c r="AL19" s="710" t="str">
        <f t="shared" si="13"/>
        <v>Kaspar Mänd</v>
      </c>
      <c r="AM19" s="652"/>
    </row>
    <row r="20" spans="1:39" hidden="1" x14ac:dyDescent="0.2">
      <c r="A20" s="652"/>
      <c r="B20" s="652"/>
      <c r="C20" s="652"/>
      <c r="D20" s="652"/>
      <c r="E20" s="652"/>
      <c r="F20" s="652"/>
      <c r="G20" s="652"/>
      <c r="H20" s="652"/>
      <c r="I20" s="652"/>
      <c r="J20" s="652"/>
      <c r="K20" s="652"/>
      <c r="L20" s="652"/>
      <c r="M20" s="652"/>
      <c r="N20" s="652"/>
      <c r="O20" s="652"/>
      <c r="P20" s="652"/>
      <c r="Q20" s="652"/>
      <c r="R20" s="652"/>
      <c r="S20" s="652"/>
      <c r="T20" s="652"/>
      <c r="U20" s="652"/>
      <c r="V20" s="652"/>
      <c r="W20" s="652"/>
      <c r="X20" s="652"/>
      <c r="Y20" s="652"/>
      <c r="Z20" s="652"/>
      <c r="AA20" s="652"/>
      <c r="AB20" s="652"/>
      <c r="AC20" s="652"/>
      <c r="AD20" s="652"/>
      <c r="AE20" s="709" t="str">
        <f>IFERROR(INDEX(Reit!I$8:I$64,MATCH(AF20,Reit!F$8:F$64,0)),"")</f>
        <v/>
      </c>
      <c r="AF20" s="710" t="str">
        <f t="shared" si="10"/>
        <v/>
      </c>
      <c r="AG20" s="709" t="str">
        <f>IFERROR(INDEX(Reit!I$8:I$64,MATCH(AH20,Reit!F$8:F$64,0)),"")</f>
        <v/>
      </c>
      <c r="AH20" s="710" t="str">
        <f t="shared" si="11"/>
        <v/>
      </c>
      <c r="AI20" s="709" t="str">
        <f>IFERROR(INDEX(Reit!I$8:I$64,MATCH(AJ20,Reit!F$8:F$64,0)),"")</f>
        <v/>
      </c>
      <c r="AJ20" s="710" t="str">
        <f t="shared" si="12"/>
        <v/>
      </c>
      <c r="AK20" s="709" t="str">
        <f>IFERROR(INDEX(Reit!I$8:I$64,MATCH(AL20,Reit!F$8:F$64,0)),"")</f>
        <v/>
      </c>
      <c r="AL20" s="710" t="str">
        <f t="shared" si="13"/>
        <v/>
      </c>
      <c r="AM20" s="652"/>
    </row>
    <row r="21" spans="1:39" hidden="1" x14ac:dyDescent="0.2">
      <c r="A21" s="652"/>
      <c r="B21" s="652"/>
      <c r="C21" s="652"/>
      <c r="D21" s="652"/>
      <c r="E21" s="652"/>
      <c r="F21" s="652"/>
      <c r="G21" s="652"/>
      <c r="H21" s="652"/>
      <c r="I21" s="652"/>
      <c r="J21" s="652"/>
      <c r="K21" s="652"/>
      <c r="L21" s="652"/>
      <c r="M21" s="652"/>
      <c r="N21" s="652"/>
      <c r="O21" s="652"/>
      <c r="P21" s="652"/>
      <c r="Q21" s="652"/>
      <c r="R21" s="652"/>
      <c r="S21" s="652"/>
      <c r="T21" s="652"/>
      <c r="U21" s="652"/>
      <c r="V21" s="652"/>
      <c r="W21" s="652"/>
      <c r="X21" s="652"/>
      <c r="Y21" s="652"/>
      <c r="Z21" s="652"/>
      <c r="AA21" s="652"/>
      <c r="AB21" s="652"/>
      <c r="AC21" s="652"/>
      <c r="AD21" s="652"/>
      <c r="AE21" s="709" t="str">
        <f>IFERROR(INDEX(Reit!I$8:I$64,MATCH(AF21,Reit!F$8:F$64,0)),"")</f>
        <v/>
      </c>
      <c r="AF21" s="710" t="str">
        <f t="shared" si="10"/>
        <v/>
      </c>
      <c r="AG21" s="709" t="str">
        <f>IFERROR(INDEX(Reit!I$8:I$64,MATCH(AH21,Reit!F$8:F$64,0)),"")</f>
        <v/>
      </c>
      <c r="AH21" s="710" t="str">
        <f t="shared" si="11"/>
        <v/>
      </c>
      <c r="AI21" s="709" t="str">
        <f>IFERROR(INDEX(Reit!I$8:I$64,MATCH(AJ21,Reit!F$8:F$64,0)),"")</f>
        <v/>
      </c>
      <c r="AJ21" s="710" t="str">
        <f t="shared" si="12"/>
        <v/>
      </c>
      <c r="AK21" s="709" t="str">
        <f>IFERROR(INDEX(Reit!I$8:I$64,MATCH(AL21,Reit!F$8:F$64,0)),"")</f>
        <v/>
      </c>
      <c r="AL21" s="710" t="str">
        <f t="shared" si="13"/>
        <v/>
      </c>
      <c r="AM21" s="652"/>
    </row>
    <row r="22" spans="1:39" hidden="1" x14ac:dyDescent="0.2">
      <c r="A22" s="652"/>
      <c r="B22" s="652"/>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2"/>
      <c r="AE22" s="709" t="str">
        <f>IFERROR(INDEX(Reit!I$8:I$64,MATCH(AF22,Reit!F$8:F$64,0)),"")</f>
        <v/>
      </c>
      <c r="AF22" s="710" t="str">
        <f t="shared" si="10"/>
        <v/>
      </c>
      <c r="AG22" s="709" t="str">
        <f>IFERROR(INDEX(Reit!I$8:I$64,MATCH(AH22,Reit!F$8:F$64,0)),"")</f>
        <v/>
      </c>
      <c r="AH22" s="710" t="str">
        <f t="shared" si="11"/>
        <v/>
      </c>
      <c r="AI22" s="709" t="str">
        <f>IFERROR(INDEX(Reit!I$8:I$64,MATCH(AJ22,Reit!F$8:F$64,0)),"")</f>
        <v/>
      </c>
      <c r="AJ22" s="710" t="str">
        <f t="shared" si="12"/>
        <v/>
      </c>
      <c r="AK22" s="709" t="str">
        <f>IFERROR(INDEX(Reit!I$8:I$64,MATCH(AL22,Reit!F$8:F$64,0)),"")</f>
        <v/>
      </c>
      <c r="AL22" s="710" t="str">
        <f t="shared" si="13"/>
        <v/>
      </c>
      <c r="AM22" s="652"/>
    </row>
    <row r="23" spans="1:39" hidden="1" x14ac:dyDescent="0.2">
      <c r="A23" s="652"/>
      <c r="B23" s="652"/>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652"/>
      <c r="AD23" s="652"/>
      <c r="AE23" s="709" t="str">
        <f>IFERROR(INDEX(Reit!I$8:I$64,MATCH(AF23,Reit!F$8:F$64,0)),"")</f>
        <v/>
      </c>
      <c r="AF23" s="710" t="str">
        <f t="shared" si="10"/>
        <v/>
      </c>
      <c r="AG23" s="709" t="str">
        <f>IFERROR(INDEX(Reit!I$8:I$64,MATCH(AH23,Reit!F$8:F$64,0)),"")</f>
        <v/>
      </c>
      <c r="AH23" s="710" t="str">
        <f t="shared" si="11"/>
        <v/>
      </c>
      <c r="AI23" s="709" t="str">
        <f>IFERROR(INDEX(Reit!I$8:I$64,MATCH(AJ23,Reit!F$8:F$64,0)),"")</f>
        <v/>
      </c>
      <c r="AJ23" s="710" t="str">
        <f t="shared" si="12"/>
        <v/>
      </c>
      <c r="AK23" s="709" t="str">
        <f>IFERROR(INDEX(Reit!I$8:I$64,MATCH(AL23,Reit!F$8:F$64,0)),"")</f>
        <v/>
      </c>
      <c r="AL23" s="710" t="str">
        <f t="shared" si="13"/>
        <v/>
      </c>
      <c r="AM23" s="652"/>
    </row>
    <row r="24" spans="1:39" hidden="1" x14ac:dyDescent="0.2">
      <c r="A24" s="652"/>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52"/>
      <c r="AB24" s="652"/>
      <c r="AC24" s="652"/>
      <c r="AD24" s="652"/>
      <c r="AE24" s="709" t="str">
        <f>IFERROR(INDEX(Reit!I$8:I$64,MATCH(AF24,Reit!F$8:F$64,0)),"")</f>
        <v/>
      </c>
      <c r="AF24" s="710" t="str">
        <f t="shared" si="10"/>
        <v/>
      </c>
      <c r="AG24" s="709" t="str">
        <f>IFERROR(INDEX(Reit!I$8:I$64,MATCH(AH24,Reit!F$8:F$64,0)),"")</f>
        <v/>
      </c>
      <c r="AH24" s="710" t="str">
        <f t="shared" si="11"/>
        <v/>
      </c>
      <c r="AI24" s="709" t="str">
        <f>IFERROR(INDEX(Reit!I$8:I$64,MATCH(AJ24,Reit!F$8:F$64,0)),"")</f>
        <v/>
      </c>
      <c r="AJ24" s="710" t="str">
        <f t="shared" si="12"/>
        <v/>
      </c>
      <c r="AK24" s="709" t="str">
        <f>IFERROR(INDEX(Reit!I$8:I$64,MATCH(AL24,Reit!F$8:F$64,0)),"")</f>
        <v/>
      </c>
      <c r="AL24" s="710" t="str">
        <f t="shared" si="13"/>
        <v/>
      </c>
      <c r="AM24" s="652"/>
    </row>
    <row r="25" spans="1:39" hidden="1" x14ac:dyDescent="0.2">
      <c r="A25" s="652"/>
      <c r="B25" s="652"/>
      <c r="C25" s="652"/>
      <c r="D25" s="652"/>
      <c r="E25" s="652"/>
      <c r="F25" s="652"/>
      <c r="G25" s="652"/>
      <c r="H25" s="652"/>
      <c r="I25" s="652"/>
      <c r="J25" s="652"/>
      <c r="K25" s="652"/>
      <c r="L25" s="652"/>
      <c r="M25" s="652"/>
      <c r="N25" s="652"/>
      <c r="O25" s="652"/>
      <c r="P25" s="652"/>
      <c r="Q25" s="652"/>
      <c r="R25" s="652"/>
      <c r="S25" s="652"/>
      <c r="T25" s="652"/>
      <c r="U25" s="652"/>
      <c r="V25" s="652"/>
      <c r="W25" s="652"/>
      <c r="X25" s="652"/>
      <c r="Y25" s="652"/>
      <c r="Z25" s="652"/>
      <c r="AA25" s="652"/>
      <c r="AB25" s="652"/>
      <c r="AC25" s="652"/>
      <c r="AD25" s="652"/>
      <c r="AE25" s="709" t="str">
        <f>IFERROR(INDEX(Reit!I$8:I$64,MATCH(AF25,Reit!F$8:F$64,0)),"")</f>
        <v/>
      </c>
      <c r="AF25" s="710" t="str">
        <f t="shared" si="10"/>
        <v/>
      </c>
      <c r="AG25" s="709" t="str">
        <f>IFERROR(INDEX(Reit!I$8:I$64,MATCH(AH25,Reit!F$8:F$64,0)),"")</f>
        <v/>
      </c>
      <c r="AH25" s="710" t="str">
        <f t="shared" si="11"/>
        <v/>
      </c>
      <c r="AI25" s="709" t="str">
        <f>IFERROR(INDEX(Reit!I$8:I$64,MATCH(AJ25,Reit!F$8:F$64,0)),"")</f>
        <v/>
      </c>
      <c r="AJ25" s="710" t="str">
        <f t="shared" si="12"/>
        <v/>
      </c>
      <c r="AK25" s="709" t="str">
        <f>IFERROR(INDEX(Reit!I$8:I$64,MATCH(AL25,Reit!F$8:F$64,0)),"")</f>
        <v/>
      </c>
      <c r="AL25" s="710" t="str">
        <f t="shared" si="13"/>
        <v/>
      </c>
      <c r="AM25" s="652"/>
    </row>
    <row r="26" spans="1:39" hidden="1" x14ac:dyDescent="0.2">
      <c r="A26" s="652"/>
      <c r="B26" s="652"/>
      <c r="C26" s="652"/>
      <c r="D26" s="652"/>
      <c r="E26" s="652"/>
      <c r="F26" s="652"/>
      <c r="G26" s="652"/>
      <c r="H26" s="652"/>
      <c r="I26" s="652"/>
      <c r="J26" s="652"/>
      <c r="K26" s="652"/>
      <c r="L26" s="652"/>
      <c r="M26" s="652"/>
      <c r="N26" s="652"/>
      <c r="O26" s="652"/>
      <c r="P26" s="652"/>
      <c r="Q26" s="652"/>
      <c r="R26" s="652"/>
      <c r="S26" s="652"/>
      <c r="T26" s="652"/>
      <c r="U26" s="652"/>
      <c r="V26" s="652"/>
      <c r="W26" s="652"/>
      <c r="X26" s="652"/>
      <c r="Y26" s="652"/>
      <c r="Z26" s="652"/>
      <c r="AA26" s="652"/>
      <c r="AB26" s="652"/>
      <c r="AC26" s="652"/>
      <c r="AD26" s="652"/>
      <c r="AE26" s="709" t="str">
        <f>IFERROR(INDEX(Reit!I$8:I$64,MATCH(AF26,Reit!F$8:F$64,0)),"")</f>
        <v/>
      </c>
      <c r="AF26" s="710" t="str">
        <f t="shared" si="10"/>
        <v/>
      </c>
      <c r="AG26" s="709" t="str">
        <f>IFERROR(INDEX(Reit!I$8:I$64,MATCH(AH26,Reit!F$8:F$64,0)),"")</f>
        <v/>
      </c>
      <c r="AH26" s="710" t="str">
        <f t="shared" si="11"/>
        <v/>
      </c>
      <c r="AI26" s="709" t="str">
        <f>IFERROR(INDEX(Reit!I$8:I$64,MATCH(AJ26,Reit!F$8:F$64,0)),"")</f>
        <v/>
      </c>
      <c r="AJ26" s="710" t="str">
        <f t="shared" si="12"/>
        <v/>
      </c>
      <c r="AK26" s="709" t="str">
        <f>IFERROR(INDEX(Reit!I$8:I$64,MATCH(AL26,Reit!F$8:F$64,0)),"")</f>
        <v/>
      </c>
      <c r="AL26" s="710" t="str">
        <f t="shared" si="13"/>
        <v/>
      </c>
      <c r="AM26" s="652"/>
    </row>
    <row r="27" spans="1:39" hidden="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c r="AA27" s="652"/>
      <c r="AB27" s="652"/>
      <c r="AC27" s="652"/>
      <c r="AD27" s="652"/>
      <c r="AE27" s="709" t="str">
        <f>IFERROR(INDEX(Reit!I$8:I$64,MATCH(AF27,Reit!F$8:F$64,0)),"")</f>
        <v/>
      </c>
      <c r="AF27" s="710" t="str">
        <f t="shared" si="10"/>
        <v/>
      </c>
      <c r="AG27" s="709" t="str">
        <f>IFERROR(INDEX(Reit!I$8:I$64,MATCH(AH27,Reit!F$8:F$64,0)),"")</f>
        <v/>
      </c>
      <c r="AH27" s="710" t="str">
        <f t="shared" si="11"/>
        <v/>
      </c>
      <c r="AI27" s="709" t="str">
        <f>IFERROR(INDEX(Reit!I$8:I$64,MATCH(AJ27,Reit!F$8:F$64,0)),"")</f>
        <v/>
      </c>
      <c r="AJ27" s="710" t="str">
        <f t="shared" si="12"/>
        <v/>
      </c>
      <c r="AK27" s="709" t="str">
        <f>IFERROR(INDEX(Reit!I$8:I$64,MATCH(AL27,Reit!F$8:F$64,0)),"")</f>
        <v/>
      </c>
      <c r="AL27" s="710" t="str">
        <f t="shared" si="13"/>
        <v/>
      </c>
      <c r="AM27" s="652"/>
    </row>
    <row r="28" spans="1:39" hidden="1" x14ac:dyDescent="0.2">
      <c r="A28" s="652"/>
      <c r="B28" s="652"/>
      <c r="C28" s="652"/>
      <c r="D28" s="652"/>
      <c r="E28" s="652"/>
      <c r="F28" s="652"/>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709" t="str">
        <f>IFERROR(INDEX(Reit!I$8:I$64,MATCH(AF28,Reit!F$8:F$64,0)),"")</f>
        <v/>
      </c>
      <c r="AF28" s="710" t="str">
        <f t="shared" si="10"/>
        <v/>
      </c>
      <c r="AG28" s="709" t="str">
        <f>IFERROR(INDEX(Reit!I$8:I$64,MATCH(AH28,Reit!F$8:F$64,0)),"")</f>
        <v/>
      </c>
      <c r="AH28" s="710" t="str">
        <f t="shared" si="11"/>
        <v/>
      </c>
      <c r="AI28" s="709" t="str">
        <f>IFERROR(INDEX(Reit!I$8:I$64,MATCH(AJ28,Reit!F$8:F$64,0)),"")</f>
        <v/>
      </c>
      <c r="AJ28" s="710" t="str">
        <f t="shared" si="12"/>
        <v/>
      </c>
      <c r="AK28" s="709" t="str">
        <f>IFERROR(INDEX(Reit!I$8:I$64,MATCH(AL28,Reit!F$8:F$64,0)),"")</f>
        <v/>
      </c>
      <c r="AL28" s="710" t="str">
        <f t="shared" si="13"/>
        <v/>
      </c>
      <c r="AM28" s="652"/>
    </row>
    <row r="29" spans="1:39" hidden="1" x14ac:dyDescent="0.2">
      <c r="A29" s="652"/>
      <c r="B29" s="652"/>
      <c r="C29" s="652"/>
      <c r="D29" s="652"/>
      <c r="E29" s="652"/>
      <c r="F29" s="652"/>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709" t="str">
        <f>IFERROR(INDEX(Reit!I$8:I$64,MATCH(AF29,Reit!F$8:F$64,0)),"")</f>
        <v/>
      </c>
      <c r="AF29" s="710" t="str">
        <f t="shared" si="10"/>
        <v/>
      </c>
      <c r="AG29" s="709" t="str">
        <f>IFERROR(INDEX(Reit!I$8:I$64,MATCH(AH29,Reit!F$8:F$64,0)),"")</f>
        <v/>
      </c>
      <c r="AH29" s="710" t="str">
        <f t="shared" si="11"/>
        <v/>
      </c>
      <c r="AI29" s="709" t="str">
        <f>IFERROR(INDEX(Reit!I$8:I$64,MATCH(AJ29,Reit!F$8:F$64,0)),"")</f>
        <v/>
      </c>
      <c r="AJ29" s="710" t="str">
        <f t="shared" si="12"/>
        <v/>
      </c>
      <c r="AK29" s="709" t="str">
        <f>IFERROR(INDEX(Reit!I$8:I$64,MATCH(AL29,Reit!F$8:F$64,0)),"")</f>
        <v/>
      </c>
      <c r="AL29" s="710" t="str">
        <f t="shared" si="13"/>
        <v/>
      </c>
      <c r="AM29" s="652"/>
    </row>
    <row r="30" spans="1:39" hidden="1" x14ac:dyDescent="0.2">
      <c r="A30" s="652"/>
      <c r="B30" s="652"/>
      <c r="C30" s="652"/>
      <c r="D30" s="652"/>
      <c r="E30" s="652"/>
      <c r="F30" s="652"/>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709" t="str">
        <f>IFERROR(INDEX(Reit!I$8:I$64,MATCH(AF30,Reit!F$8:F$64,0)),"")</f>
        <v/>
      </c>
      <c r="AF30" s="710" t="str">
        <f t="shared" si="10"/>
        <v/>
      </c>
      <c r="AG30" s="709" t="str">
        <f>IFERROR(INDEX(Reit!I$8:I$64,MATCH(AH30,Reit!F$8:F$64,0)),"")</f>
        <v/>
      </c>
      <c r="AH30" s="710" t="str">
        <f t="shared" si="11"/>
        <v/>
      </c>
      <c r="AI30" s="709" t="str">
        <f>IFERROR(INDEX(Reit!I$8:I$64,MATCH(AJ30,Reit!F$8:F$64,0)),"")</f>
        <v/>
      </c>
      <c r="AJ30" s="710" t="str">
        <f t="shared" si="12"/>
        <v/>
      </c>
      <c r="AK30" s="709" t="str">
        <f>IFERROR(INDEX(Reit!I$8:I$64,MATCH(AL30,Reit!F$8:F$64,0)),"")</f>
        <v/>
      </c>
      <c r="AL30" s="710" t="str">
        <f t="shared" si="13"/>
        <v/>
      </c>
      <c r="AM30" s="652"/>
    </row>
    <row r="31" spans="1:39" hidden="1" x14ac:dyDescent="0.2">
      <c r="A31" s="652"/>
      <c r="B31" s="652"/>
      <c r="C31" s="652"/>
      <c r="D31" s="652"/>
      <c r="E31" s="652"/>
      <c r="F31" s="652"/>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709" t="str">
        <f>IFERROR(INDEX(Reit!I$8:I$64,MATCH(AF31,Reit!F$8:F$64,0)),"")</f>
        <v/>
      </c>
      <c r="AF31" s="710" t="str">
        <f t="shared" si="10"/>
        <v/>
      </c>
      <c r="AG31" s="709" t="str">
        <f>IFERROR(INDEX(Reit!I$8:I$64,MATCH(AH31,Reit!F$8:F$64,0)),"")</f>
        <v/>
      </c>
      <c r="AH31" s="710" t="str">
        <f t="shared" si="11"/>
        <v/>
      </c>
      <c r="AI31" s="709" t="str">
        <f>IFERROR(INDEX(Reit!I$8:I$64,MATCH(AJ31,Reit!F$8:F$64,0)),"")</f>
        <v/>
      </c>
      <c r="AJ31" s="710" t="str">
        <f t="shared" si="12"/>
        <v/>
      </c>
      <c r="AK31" s="709" t="str">
        <f>IFERROR(INDEX(Reit!I$8:I$64,MATCH(AL31,Reit!F$8:F$64,0)),"")</f>
        <v/>
      </c>
      <c r="AL31" s="710" t="str">
        <f t="shared" si="13"/>
        <v/>
      </c>
      <c r="AM31" s="652"/>
    </row>
    <row r="32" spans="1:39" hidden="1" x14ac:dyDescent="0.2">
      <c r="A32" s="652"/>
      <c r="B32" s="652"/>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709" t="str">
        <f>IFERROR(INDEX(Reit!I$8:I$64,MATCH(AF32,Reit!F$8:F$64,0)),"")</f>
        <v/>
      </c>
      <c r="AF32" s="710" t="str">
        <f t="shared" si="10"/>
        <v/>
      </c>
      <c r="AG32" s="709" t="str">
        <f>IFERROR(INDEX(Reit!I$8:I$64,MATCH(AH32,Reit!F$8:F$64,0)),"")</f>
        <v/>
      </c>
      <c r="AH32" s="710" t="str">
        <f t="shared" si="11"/>
        <v/>
      </c>
      <c r="AI32" s="709" t="str">
        <f>IFERROR(INDEX(Reit!I$8:I$64,MATCH(AJ32,Reit!F$8:F$64,0)),"")</f>
        <v/>
      </c>
      <c r="AJ32" s="710" t="str">
        <f t="shared" si="12"/>
        <v/>
      </c>
      <c r="AK32" s="709" t="str">
        <f>IFERROR(INDEX(Reit!I$8:I$64,MATCH(AL32,Reit!F$8:F$64,0)),"")</f>
        <v/>
      </c>
      <c r="AL32" s="710" t="str">
        <f t="shared" si="13"/>
        <v/>
      </c>
      <c r="AM32" s="652"/>
    </row>
    <row r="33" spans="1:39" hidden="1" x14ac:dyDescent="0.2">
      <c r="A33" s="652"/>
      <c r="B33" s="652"/>
      <c r="C33" s="652"/>
      <c r="D33" s="652"/>
      <c r="E33" s="652"/>
      <c r="F33" s="652"/>
      <c r="G33" s="652"/>
      <c r="H33" s="652"/>
      <c r="I33" s="652"/>
      <c r="J33" s="652"/>
      <c r="K33" s="652"/>
      <c r="L33" s="652"/>
      <c r="M33" s="652"/>
      <c r="N33" s="652"/>
      <c r="O33" s="652"/>
      <c r="P33" s="652"/>
      <c r="Q33" s="652"/>
      <c r="R33" s="652"/>
      <c r="S33" s="652"/>
      <c r="T33" s="652"/>
      <c r="U33" s="652"/>
      <c r="V33" s="652"/>
      <c r="W33" s="652"/>
      <c r="X33" s="652"/>
      <c r="Y33" s="652"/>
      <c r="Z33" s="652"/>
      <c r="AA33" s="652"/>
      <c r="AB33" s="652"/>
      <c r="AC33" s="652"/>
      <c r="AD33" s="652"/>
      <c r="AE33" s="709" t="str">
        <f>IFERROR(INDEX(Reit!I$8:I$64,MATCH(AF33,Reit!F$8:F$64,0)),"")</f>
        <v/>
      </c>
      <c r="AF33" s="710" t="str">
        <f t="shared" si="10"/>
        <v/>
      </c>
      <c r="AG33" s="709" t="str">
        <f>IFERROR(INDEX(Reit!I$8:I$64,MATCH(AH33,Reit!F$8:F$64,0)),"")</f>
        <v/>
      </c>
      <c r="AH33" s="710" t="str">
        <f t="shared" si="11"/>
        <v/>
      </c>
      <c r="AI33" s="709" t="str">
        <f>IFERROR(INDEX(Reit!I$8:I$64,MATCH(AJ33,Reit!F$8:F$64,0)),"")</f>
        <v/>
      </c>
      <c r="AJ33" s="710" t="str">
        <f t="shared" si="12"/>
        <v/>
      </c>
      <c r="AK33" s="709" t="str">
        <f>IFERROR(INDEX(Reit!I$8:I$64,MATCH(AL33,Reit!F$8:F$64,0)),"")</f>
        <v/>
      </c>
      <c r="AL33" s="710" t="str">
        <f t="shared" si="13"/>
        <v/>
      </c>
      <c r="AM33" s="652"/>
    </row>
    <row r="34" spans="1:39" hidden="1" x14ac:dyDescent="0.2">
      <c r="A34" s="652"/>
      <c r="B34" s="652"/>
      <c r="C34" s="652"/>
      <c r="D34" s="652"/>
      <c r="E34" s="652"/>
      <c r="F34" s="652"/>
      <c r="G34" s="652"/>
      <c r="H34" s="652"/>
      <c r="I34" s="652"/>
      <c r="J34" s="652"/>
      <c r="K34" s="652"/>
      <c r="L34" s="652"/>
      <c r="M34" s="652"/>
      <c r="N34" s="652"/>
      <c r="O34" s="652"/>
      <c r="P34" s="652"/>
      <c r="Q34" s="652"/>
      <c r="R34" s="652"/>
      <c r="S34" s="652"/>
      <c r="T34" s="652"/>
      <c r="U34" s="652"/>
      <c r="V34" s="652"/>
      <c r="W34" s="652"/>
      <c r="X34" s="652"/>
      <c r="Y34" s="652"/>
      <c r="Z34" s="652"/>
      <c r="AA34" s="652"/>
      <c r="AB34" s="652"/>
      <c r="AC34" s="652"/>
      <c r="AD34" s="652"/>
      <c r="AE34" s="709" t="str">
        <f>IFERROR(INDEX(Reit!I$8:I$64,MATCH(AF34,Reit!F$8:F$64,0)),"")</f>
        <v/>
      </c>
      <c r="AF34" s="710" t="str">
        <f t="shared" si="10"/>
        <v/>
      </c>
      <c r="AG34" s="709" t="str">
        <f>IFERROR(INDEX(Reit!I$8:I$64,MATCH(AH34,Reit!F$8:F$64,0)),"")</f>
        <v/>
      </c>
      <c r="AH34" s="710" t="str">
        <f t="shared" si="11"/>
        <v/>
      </c>
      <c r="AI34" s="709" t="str">
        <f>IFERROR(INDEX(Reit!I$8:I$64,MATCH(AJ34,Reit!F$8:F$64,0)),"")</f>
        <v/>
      </c>
      <c r="AJ34" s="710" t="str">
        <f t="shared" si="12"/>
        <v/>
      </c>
      <c r="AK34" s="709" t="str">
        <f>IFERROR(INDEX(Reit!I$8:I$64,MATCH(AL34,Reit!F$8:F$64,0)),"")</f>
        <v/>
      </c>
      <c r="AL34" s="710" t="str">
        <f t="shared" si="13"/>
        <v/>
      </c>
      <c r="AM34" s="652"/>
    </row>
    <row r="35" spans="1:39" hidden="1" x14ac:dyDescent="0.2">
      <c r="A35" s="652"/>
      <c r="B35" s="652"/>
      <c r="C35" s="652"/>
      <c r="D35" s="652"/>
      <c r="E35" s="652"/>
      <c r="F35" s="652"/>
      <c r="G35" s="652"/>
      <c r="H35" s="652"/>
      <c r="I35" s="652"/>
      <c r="J35" s="652"/>
      <c r="K35" s="652"/>
      <c r="L35" s="652"/>
      <c r="M35" s="652"/>
      <c r="N35" s="652"/>
      <c r="O35" s="652"/>
      <c r="P35" s="652"/>
      <c r="Q35" s="652"/>
      <c r="R35" s="652"/>
      <c r="S35" s="652"/>
      <c r="T35" s="652"/>
      <c r="U35" s="652"/>
      <c r="V35" s="652"/>
      <c r="W35" s="652"/>
      <c r="X35" s="652"/>
      <c r="Y35" s="652"/>
      <c r="Z35" s="652"/>
      <c r="AA35" s="652"/>
      <c r="AB35" s="652"/>
      <c r="AC35" s="652"/>
      <c r="AD35" s="652"/>
      <c r="AE35" s="709" t="str">
        <f>IFERROR(INDEX(Reit!I$8:I$64,MATCH(AF35,Reit!F$8:F$64,0)),"")</f>
        <v/>
      </c>
      <c r="AF35" s="710" t="str">
        <f t="shared" si="10"/>
        <v/>
      </c>
      <c r="AG35" s="709" t="str">
        <f>IFERROR(INDEX(Reit!I$8:I$64,MATCH(AH35,Reit!F$8:F$64,0)),"")</f>
        <v/>
      </c>
      <c r="AH35" s="710" t="str">
        <f t="shared" si="11"/>
        <v/>
      </c>
      <c r="AI35" s="709" t="str">
        <f>IFERROR(INDEX(Reit!I$8:I$64,MATCH(AJ35,Reit!F$8:F$64,0)),"")</f>
        <v/>
      </c>
      <c r="AJ35" s="710" t="str">
        <f t="shared" si="12"/>
        <v/>
      </c>
      <c r="AK35" s="709" t="str">
        <f>IFERROR(INDEX(Reit!I$8:I$64,MATCH(AL35,Reit!F$8:F$64,0)),"")</f>
        <v/>
      </c>
      <c r="AL35" s="710" t="str">
        <f t="shared" si="13"/>
        <v/>
      </c>
      <c r="AM35" s="652"/>
    </row>
    <row r="36" spans="1:39" hidden="1" x14ac:dyDescent="0.2">
      <c r="A36" s="652"/>
      <c r="B36" s="652"/>
      <c r="C36" s="652"/>
      <c r="D36" s="652"/>
      <c r="E36" s="652"/>
      <c r="F36" s="652"/>
      <c r="G36" s="652"/>
      <c r="H36" s="652"/>
      <c r="I36" s="652"/>
      <c r="J36" s="652"/>
      <c r="K36" s="652"/>
      <c r="L36" s="652"/>
      <c r="M36" s="652"/>
      <c r="N36" s="652"/>
      <c r="O36" s="652"/>
      <c r="P36" s="652"/>
      <c r="Q36" s="652"/>
      <c r="R36" s="652"/>
      <c r="S36" s="652"/>
      <c r="T36" s="652"/>
      <c r="U36" s="652"/>
      <c r="V36" s="652"/>
      <c r="W36" s="652"/>
      <c r="X36" s="652"/>
      <c r="Y36" s="652"/>
      <c r="Z36" s="652"/>
      <c r="AA36" s="652"/>
      <c r="AB36" s="652"/>
      <c r="AC36" s="652"/>
      <c r="AD36" s="652"/>
      <c r="AE36" s="709" t="str">
        <f>IFERROR(INDEX(Reit!I$8:I$64,MATCH(AF36,Reit!F$8:F$64,0)),"")</f>
        <v/>
      </c>
      <c r="AF36" s="710" t="str">
        <f t="shared" si="10"/>
        <v/>
      </c>
      <c r="AG36" s="709" t="str">
        <f>IFERROR(INDEX(Reit!I$8:I$64,MATCH(AH36,Reit!F$8:F$64,0)),"")</f>
        <v/>
      </c>
      <c r="AH36" s="710" t="str">
        <f t="shared" si="11"/>
        <v/>
      </c>
      <c r="AI36" s="709" t="str">
        <f>IFERROR(INDEX(Reit!I$8:I$64,MATCH(AJ36,Reit!F$8:F$64,0)),"")</f>
        <v/>
      </c>
      <c r="AJ36" s="710" t="str">
        <f t="shared" si="12"/>
        <v/>
      </c>
      <c r="AK36" s="709" t="str">
        <f>IFERROR(INDEX(Reit!I$8:I$64,MATCH(AL36,Reit!F$8:F$64,0)),"")</f>
        <v/>
      </c>
      <c r="AL36" s="710" t="str">
        <f t="shared" si="13"/>
        <v/>
      </c>
      <c r="AM36" s="652"/>
    </row>
    <row r="37" spans="1:39" hidden="1" x14ac:dyDescent="0.2">
      <c r="A37" s="652"/>
      <c r="B37" s="652"/>
      <c r="C37" s="652"/>
      <c r="D37" s="652"/>
      <c r="E37" s="652"/>
      <c r="F37" s="652"/>
      <c r="G37" s="652"/>
      <c r="H37" s="652"/>
      <c r="I37" s="652"/>
      <c r="J37" s="652"/>
      <c r="K37" s="652"/>
      <c r="L37" s="652"/>
      <c r="M37" s="652"/>
      <c r="N37" s="652"/>
      <c r="O37" s="652"/>
      <c r="P37" s="652"/>
      <c r="Q37" s="652"/>
      <c r="R37" s="652"/>
      <c r="S37" s="652"/>
      <c r="T37" s="652"/>
      <c r="U37" s="652"/>
      <c r="V37" s="652"/>
      <c r="W37" s="652"/>
      <c r="X37" s="652"/>
      <c r="Y37" s="652"/>
      <c r="Z37" s="652"/>
      <c r="AA37" s="652"/>
      <c r="AB37" s="652"/>
      <c r="AC37" s="652"/>
      <c r="AD37" s="652"/>
      <c r="AE37" s="709" t="str">
        <f>IFERROR(INDEX(Reit!I$8:I$64,MATCH(AF37,Reit!F$8:F$64,0)),"")</f>
        <v/>
      </c>
      <c r="AF37" s="710" t="str">
        <f t="shared" si="10"/>
        <v/>
      </c>
      <c r="AG37" s="709" t="str">
        <f>IFERROR(INDEX(Reit!I$8:I$64,MATCH(AH37,Reit!F$8:F$64,0)),"")</f>
        <v/>
      </c>
      <c r="AH37" s="710" t="str">
        <f t="shared" si="11"/>
        <v/>
      </c>
      <c r="AI37" s="709" t="str">
        <f>IFERROR(INDEX(Reit!I$8:I$64,MATCH(AJ37,Reit!F$8:F$64,0)),"")</f>
        <v/>
      </c>
      <c r="AJ37" s="710" t="str">
        <f t="shared" si="12"/>
        <v/>
      </c>
      <c r="AK37" s="709" t="str">
        <f>IFERROR(INDEX(Reit!I$8:I$64,MATCH(AL37,Reit!F$8:F$64,0)),"")</f>
        <v/>
      </c>
      <c r="AL37" s="710" t="str">
        <f t="shared" si="13"/>
        <v/>
      </c>
      <c r="AM37" s="652"/>
    </row>
    <row r="38" spans="1:39" hidden="1" x14ac:dyDescent="0.2">
      <c r="A38" s="652"/>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52"/>
      <c r="AB38" s="652"/>
      <c r="AC38" s="652"/>
      <c r="AD38" s="652"/>
      <c r="AE38" s="709" t="str">
        <f>IFERROR(INDEX(Reit!I$8:I$64,MATCH(AF38,Reit!F$8:F$64,0)),"")</f>
        <v/>
      </c>
      <c r="AF38" s="710" t="str">
        <f t="shared" si="10"/>
        <v/>
      </c>
      <c r="AG38" s="709" t="str">
        <f>IFERROR(INDEX(Reit!I$8:I$64,MATCH(AH38,Reit!F$8:F$64,0)),"")</f>
        <v/>
      </c>
      <c r="AH38" s="710" t="str">
        <f t="shared" si="11"/>
        <v/>
      </c>
      <c r="AI38" s="709" t="str">
        <f>IFERROR(INDEX(Reit!I$8:I$64,MATCH(AJ38,Reit!F$8:F$64,0)),"")</f>
        <v/>
      </c>
      <c r="AJ38" s="710" t="str">
        <f t="shared" si="12"/>
        <v/>
      </c>
      <c r="AK38" s="709" t="str">
        <f>IFERROR(INDEX(Reit!I$8:I$64,MATCH(AL38,Reit!F$8:F$64,0)),"")</f>
        <v/>
      </c>
      <c r="AL38" s="710" t="str">
        <f t="shared" si="13"/>
        <v/>
      </c>
      <c r="AM38" s="652"/>
    </row>
    <row r="39" spans="1:39" hidden="1" x14ac:dyDescent="0.2">
      <c r="A39" s="652"/>
      <c r="B39" s="652"/>
      <c r="C39" s="652"/>
      <c r="D39" s="652"/>
      <c r="E39" s="652"/>
      <c r="F39" s="652"/>
      <c r="G39" s="652"/>
      <c r="H39" s="652"/>
      <c r="I39" s="652"/>
      <c r="J39" s="652"/>
      <c r="K39" s="652"/>
      <c r="L39" s="652"/>
      <c r="M39" s="652"/>
      <c r="N39" s="652"/>
      <c r="O39" s="652"/>
      <c r="P39" s="652"/>
      <c r="Q39" s="652"/>
      <c r="R39" s="652"/>
      <c r="S39" s="652"/>
      <c r="T39" s="652"/>
      <c r="U39" s="652"/>
      <c r="V39" s="652"/>
      <c r="W39" s="652"/>
      <c r="X39" s="652"/>
      <c r="Y39" s="652"/>
      <c r="Z39" s="652"/>
      <c r="AA39" s="652"/>
      <c r="AB39" s="652"/>
      <c r="AC39" s="652"/>
      <c r="AD39" s="652"/>
      <c r="AE39" s="709" t="str">
        <f>IFERROR(INDEX(Reit!I$8:I$64,MATCH(AF39,Reit!F$8:F$64,0)),"")</f>
        <v/>
      </c>
      <c r="AF39" s="710" t="str">
        <f t="shared" si="10"/>
        <v/>
      </c>
      <c r="AG39" s="709" t="str">
        <f>IFERROR(INDEX(Reit!I$8:I$64,MATCH(AH39,Reit!F$8:F$64,0)),"")</f>
        <v/>
      </c>
      <c r="AH39" s="710" t="str">
        <f t="shared" si="11"/>
        <v/>
      </c>
      <c r="AI39" s="709" t="str">
        <f>IFERROR(INDEX(Reit!I$8:I$64,MATCH(AJ39,Reit!F$8:F$64,0)),"")</f>
        <v/>
      </c>
      <c r="AJ39" s="710" t="str">
        <f t="shared" si="12"/>
        <v/>
      </c>
      <c r="AK39" s="709" t="str">
        <f>IFERROR(INDEX(Reit!I$8:I$64,MATCH(AL39,Reit!F$8:F$64,0)),"")</f>
        <v/>
      </c>
      <c r="AL39" s="710" t="str">
        <f t="shared" si="13"/>
        <v/>
      </c>
      <c r="AM39" s="652"/>
    </row>
    <row r="40" spans="1:39" hidden="1" x14ac:dyDescent="0.2">
      <c r="A40" s="652"/>
      <c r="B40" s="652"/>
      <c r="C40" s="652"/>
      <c r="D40" s="652"/>
      <c r="E40" s="652"/>
      <c r="F40" s="652"/>
      <c r="G40" s="652"/>
      <c r="H40" s="652"/>
      <c r="I40" s="652"/>
      <c r="J40" s="652"/>
      <c r="K40" s="652"/>
      <c r="L40" s="652"/>
      <c r="M40" s="652"/>
      <c r="N40" s="652"/>
      <c r="O40" s="652"/>
      <c r="P40" s="652"/>
      <c r="Q40" s="652"/>
      <c r="R40" s="652"/>
      <c r="S40" s="652"/>
      <c r="T40" s="652"/>
      <c r="U40" s="652"/>
      <c r="V40" s="652"/>
      <c r="W40" s="652"/>
      <c r="X40" s="652"/>
      <c r="Y40" s="652"/>
      <c r="Z40" s="652"/>
      <c r="AA40" s="652"/>
      <c r="AB40" s="652"/>
      <c r="AC40" s="652"/>
      <c r="AD40" s="652"/>
      <c r="AE40" s="709" t="str">
        <f>IFERROR(INDEX(Reit!I$8:I$64,MATCH(AF40,Reit!F$8:F$64,0)),"")</f>
        <v/>
      </c>
      <c r="AF40" s="710" t="str">
        <f t="shared" si="10"/>
        <v/>
      </c>
      <c r="AG40" s="709" t="str">
        <f>IFERROR(INDEX(Reit!I$8:I$64,MATCH(AH40,Reit!F$8:F$64,0)),"")</f>
        <v/>
      </c>
      <c r="AH40" s="710" t="str">
        <f t="shared" si="11"/>
        <v/>
      </c>
      <c r="AI40" s="709" t="str">
        <f>IFERROR(INDEX(Reit!I$8:I$64,MATCH(AJ40,Reit!F$8:F$64,0)),"")</f>
        <v/>
      </c>
      <c r="AJ40" s="710" t="str">
        <f t="shared" si="12"/>
        <v/>
      </c>
      <c r="AK40" s="709" t="str">
        <f>IFERROR(INDEX(Reit!I$8:I$64,MATCH(AL40,Reit!F$8:F$64,0)),"")</f>
        <v/>
      </c>
      <c r="AL40" s="710" t="str">
        <f t="shared" si="13"/>
        <v/>
      </c>
      <c r="AM40" s="652"/>
    </row>
    <row r="41" spans="1:39" hidden="1" x14ac:dyDescent="0.2">
      <c r="A41" s="652"/>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52"/>
      <c r="AB41" s="652"/>
      <c r="AC41" s="652"/>
      <c r="AD41" s="652"/>
      <c r="AE41" s="709" t="str">
        <f>IFERROR(INDEX(Reit!I$8:I$64,MATCH(AF41,Reit!F$8:F$64,0)),"")</f>
        <v/>
      </c>
      <c r="AF41" s="710" t="str">
        <f t="shared" si="10"/>
        <v/>
      </c>
      <c r="AG41" s="709" t="str">
        <f>IFERROR(INDEX(Reit!I$8:I$64,MATCH(AH41,Reit!F$8:F$64,0)),"")</f>
        <v/>
      </c>
      <c r="AH41" s="710" t="str">
        <f t="shared" si="11"/>
        <v/>
      </c>
      <c r="AI41" s="709" t="str">
        <f>IFERROR(INDEX(Reit!I$8:I$64,MATCH(AJ41,Reit!F$8:F$64,0)),"")</f>
        <v/>
      </c>
      <c r="AJ41" s="710" t="str">
        <f t="shared" si="12"/>
        <v/>
      </c>
      <c r="AK41" s="709" t="str">
        <f>IFERROR(INDEX(Reit!I$8:I$64,MATCH(AL41,Reit!F$8:F$64,0)),"")</f>
        <v/>
      </c>
      <c r="AL41" s="710" t="str">
        <f t="shared" si="13"/>
        <v/>
      </c>
      <c r="AM41" s="652"/>
    </row>
    <row r="42" spans="1:39" hidden="1" x14ac:dyDescent="0.2">
      <c r="A42" s="652"/>
      <c r="B42" s="652"/>
      <c r="C42" s="652"/>
      <c r="D42" s="652"/>
      <c r="E42" s="652"/>
      <c r="F42" s="652"/>
      <c r="G42" s="652"/>
      <c r="H42" s="652"/>
      <c r="I42" s="652"/>
      <c r="J42" s="652"/>
      <c r="K42" s="652"/>
      <c r="L42" s="652"/>
      <c r="M42" s="652"/>
      <c r="N42" s="652"/>
      <c r="O42" s="652"/>
      <c r="P42" s="652"/>
      <c r="Q42" s="652"/>
      <c r="R42" s="652"/>
      <c r="S42" s="652"/>
      <c r="T42" s="652"/>
      <c r="U42" s="652"/>
      <c r="V42" s="652"/>
      <c r="W42" s="652"/>
      <c r="X42" s="652"/>
      <c r="Y42" s="652"/>
      <c r="Z42" s="652"/>
      <c r="AA42" s="652"/>
      <c r="AB42" s="652"/>
      <c r="AC42" s="652"/>
      <c r="AD42" s="652"/>
      <c r="AE42" s="709" t="str">
        <f>IFERROR(INDEX(Reit!I$8:I$64,MATCH(AF42,Reit!F$8:F$64,0)),"")</f>
        <v/>
      </c>
      <c r="AF42" s="710" t="str">
        <f t="shared" si="10"/>
        <v/>
      </c>
      <c r="AG42" s="709" t="str">
        <f>IFERROR(INDEX(Reit!I$8:I$64,MATCH(AH42,Reit!F$8:F$64,0)),"")</f>
        <v/>
      </c>
      <c r="AH42" s="710" t="str">
        <f t="shared" si="11"/>
        <v/>
      </c>
      <c r="AI42" s="709" t="str">
        <f>IFERROR(INDEX(Reit!I$8:I$64,MATCH(AJ42,Reit!F$8:F$64,0)),"")</f>
        <v/>
      </c>
      <c r="AJ42" s="710" t="str">
        <f t="shared" si="12"/>
        <v/>
      </c>
      <c r="AK42" s="709" t="str">
        <f>IFERROR(INDEX(Reit!I$8:I$64,MATCH(AL42,Reit!F$8:F$64,0)),"")</f>
        <v/>
      </c>
      <c r="AL42" s="710" t="str">
        <f t="shared" si="13"/>
        <v/>
      </c>
      <c r="AM42" s="652"/>
    </row>
    <row r="43" spans="1:39" hidden="1" x14ac:dyDescent="0.2">
      <c r="A43" s="652"/>
      <c r="B43" s="652"/>
      <c r="C43" s="652"/>
      <c r="D43" s="652"/>
      <c r="E43" s="652"/>
      <c r="F43" s="652"/>
      <c r="G43" s="652"/>
      <c r="H43" s="652"/>
      <c r="I43" s="652"/>
      <c r="J43" s="652"/>
      <c r="K43" s="652"/>
      <c r="L43" s="652"/>
      <c r="M43" s="652"/>
      <c r="N43" s="652"/>
      <c r="O43" s="652"/>
      <c r="P43" s="652"/>
      <c r="Q43" s="652"/>
      <c r="R43" s="652"/>
      <c r="S43" s="652"/>
      <c r="T43" s="652"/>
      <c r="U43" s="652"/>
      <c r="V43" s="652"/>
      <c r="W43" s="652"/>
      <c r="X43" s="652"/>
      <c r="Y43" s="652"/>
      <c r="Z43" s="652"/>
      <c r="AA43" s="652"/>
      <c r="AB43" s="652"/>
      <c r="AC43" s="652"/>
      <c r="AD43" s="652"/>
      <c r="AE43" s="709" t="str">
        <f>IFERROR(INDEX(Reit!I$8:I$64,MATCH(AF43,Reit!F$8:F$64,0)),"")</f>
        <v/>
      </c>
      <c r="AF43" s="710" t="str">
        <f t="shared" si="10"/>
        <v/>
      </c>
      <c r="AG43" s="709" t="str">
        <f>IFERROR(INDEX(Reit!I$8:I$64,MATCH(AH43,Reit!F$8:F$64,0)),"")</f>
        <v/>
      </c>
      <c r="AH43" s="710" t="str">
        <f t="shared" si="11"/>
        <v/>
      </c>
      <c r="AI43" s="709" t="str">
        <f>IFERROR(INDEX(Reit!I$8:I$64,MATCH(AJ43,Reit!F$8:F$64,0)),"")</f>
        <v/>
      </c>
      <c r="AJ43" s="710" t="str">
        <f t="shared" si="12"/>
        <v/>
      </c>
      <c r="AK43" s="709" t="str">
        <f>IFERROR(INDEX(Reit!I$8:I$64,MATCH(AL43,Reit!F$8:F$64,0)),"")</f>
        <v/>
      </c>
      <c r="AL43" s="710" t="str">
        <f t="shared" si="13"/>
        <v/>
      </c>
      <c r="AM43" s="652"/>
    </row>
    <row r="44" spans="1:39" hidden="1" x14ac:dyDescent="0.2">
      <c r="A44" s="652"/>
      <c r="B44" s="652"/>
      <c r="C44" s="652"/>
      <c r="D44" s="652"/>
      <c r="E44" s="652"/>
      <c r="F44" s="652"/>
      <c r="G44" s="652"/>
      <c r="H44" s="652"/>
      <c r="I44" s="652"/>
      <c r="J44" s="652"/>
      <c r="K44" s="652"/>
      <c r="L44" s="652"/>
      <c r="M44" s="652"/>
      <c r="N44" s="652"/>
      <c r="O44" s="652"/>
      <c r="P44" s="652"/>
      <c r="Q44" s="652"/>
      <c r="R44" s="652"/>
      <c r="S44" s="652"/>
      <c r="T44" s="652"/>
      <c r="U44" s="652"/>
      <c r="V44" s="652"/>
      <c r="W44" s="652"/>
      <c r="X44" s="652"/>
      <c r="Y44" s="652"/>
      <c r="Z44" s="652"/>
      <c r="AA44" s="652"/>
      <c r="AB44" s="652"/>
      <c r="AC44" s="652"/>
      <c r="AD44" s="652"/>
      <c r="AE44" s="709" t="str">
        <f>IFERROR(INDEX(Reit!I$8:I$64,MATCH(AF44,Reit!F$8:F$64,0)),"")</f>
        <v/>
      </c>
      <c r="AF44" s="710" t="str">
        <f t="shared" si="10"/>
        <v/>
      </c>
      <c r="AG44" s="709" t="str">
        <f>IFERROR(INDEX(Reit!I$8:I$64,MATCH(AH44,Reit!F$8:F$64,0)),"")</f>
        <v/>
      </c>
      <c r="AH44" s="710" t="str">
        <f t="shared" si="11"/>
        <v/>
      </c>
      <c r="AI44" s="709" t="str">
        <f>IFERROR(INDEX(Reit!I$8:I$64,MATCH(AJ44,Reit!F$8:F$64,0)),"")</f>
        <v/>
      </c>
      <c r="AJ44" s="710" t="str">
        <f t="shared" si="12"/>
        <v/>
      </c>
      <c r="AK44" s="709" t="str">
        <f>IFERROR(INDEX(Reit!I$8:I$64,MATCH(AL44,Reit!F$8:F$64,0)),"")</f>
        <v/>
      </c>
      <c r="AL44" s="710" t="str">
        <f t="shared" si="13"/>
        <v/>
      </c>
      <c r="AM44" s="652"/>
    </row>
    <row r="45" spans="1:39" hidden="1" x14ac:dyDescent="0.2">
      <c r="A45" s="652"/>
      <c r="B45" s="652"/>
      <c r="C45" s="652"/>
      <c r="D45" s="652"/>
      <c r="E45" s="652"/>
      <c r="F45" s="652"/>
      <c r="G45" s="652"/>
      <c r="H45" s="652"/>
      <c r="I45" s="652"/>
      <c r="J45" s="652"/>
      <c r="K45" s="652"/>
      <c r="L45" s="652"/>
      <c r="M45" s="652"/>
      <c r="N45" s="652"/>
      <c r="O45" s="652"/>
      <c r="P45" s="652"/>
      <c r="Q45" s="652"/>
      <c r="R45" s="652"/>
      <c r="S45" s="652"/>
      <c r="T45" s="652"/>
      <c r="U45" s="652"/>
      <c r="V45" s="652"/>
      <c r="W45" s="652"/>
      <c r="X45" s="652"/>
      <c r="Y45" s="652"/>
      <c r="Z45" s="652"/>
      <c r="AA45" s="652"/>
      <c r="AB45" s="652"/>
      <c r="AC45" s="652"/>
      <c r="AD45" s="652"/>
      <c r="AE45" s="709" t="str">
        <f>IFERROR(INDEX(Reit!I$8:I$64,MATCH(AF45,Reit!F$8:F$64,0)),"")</f>
        <v/>
      </c>
      <c r="AF45" s="710" t="str">
        <f t="shared" si="10"/>
        <v/>
      </c>
      <c r="AG45" s="709" t="str">
        <f>IFERROR(INDEX(Reit!I$8:I$64,MATCH(AH45,Reit!F$8:F$64,0)),"")</f>
        <v/>
      </c>
      <c r="AH45" s="710" t="str">
        <f t="shared" si="11"/>
        <v/>
      </c>
      <c r="AI45" s="709" t="str">
        <f>IFERROR(INDEX(Reit!I$8:I$64,MATCH(AJ45,Reit!F$8:F$64,0)),"")</f>
        <v/>
      </c>
      <c r="AJ45" s="710" t="str">
        <f t="shared" si="12"/>
        <v/>
      </c>
      <c r="AK45" s="709" t="str">
        <f>IFERROR(INDEX(Reit!I$8:I$64,MATCH(AL45,Reit!F$8:F$64,0)),"")</f>
        <v/>
      </c>
      <c r="AL45" s="710" t="str">
        <f t="shared" si="13"/>
        <v/>
      </c>
      <c r="AM45" s="652"/>
    </row>
    <row r="46" spans="1:39" hidden="1" x14ac:dyDescent="0.2">
      <c r="A46" s="652"/>
      <c r="B46" s="652"/>
      <c r="C46" s="652"/>
      <c r="D46" s="652"/>
      <c r="E46" s="652"/>
      <c r="F46" s="652"/>
      <c r="G46" s="652"/>
      <c r="H46" s="652"/>
      <c r="I46" s="652"/>
      <c r="J46" s="652"/>
      <c r="K46" s="652"/>
      <c r="L46" s="652"/>
      <c r="M46" s="652"/>
      <c r="N46" s="652"/>
      <c r="O46" s="652"/>
      <c r="P46" s="652"/>
      <c r="Q46" s="652"/>
      <c r="R46" s="652"/>
      <c r="S46" s="652"/>
      <c r="T46" s="652"/>
      <c r="U46" s="652"/>
      <c r="V46" s="652"/>
      <c r="W46" s="652"/>
      <c r="X46" s="652"/>
      <c r="Y46" s="652"/>
      <c r="Z46" s="652"/>
      <c r="AA46" s="652"/>
      <c r="AB46" s="652"/>
      <c r="AC46" s="652"/>
      <c r="AD46" s="652"/>
      <c r="AE46" s="709" t="str">
        <f>IFERROR(INDEX(Reit!I$8:I$64,MATCH(AF46,Reit!F$8:F$64,0)),"")</f>
        <v/>
      </c>
      <c r="AF46" s="710" t="str">
        <f t="shared" si="10"/>
        <v/>
      </c>
      <c r="AG46" s="709" t="str">
        <f>IFERROR(INDEX(Reit!I$8:I$64,MATCH(AH46,Reit!F$8:F$64,0)),"")</f>
        <v/>
      </c>
      <c r="AH46" s="710" t="str">
        <f t="shared" si="11"/>
        <v/>
      </c>
      <c r="AI46" s="709" t="str">
        <f>IFERROR(INDEX(Reit!I$8:I$64,MATCH(AJ46,Reit!F$8:F$64,0)),"")</f>
        <v/>
      </c>
      <c r="AJ46" s="710" t="str">
        <f t="shared" si="12"/>
        <v/>
      </c>
      <c r="AK46" s="709" t="str">
        <f>IFERROR(INDEX(Reit!I$8:I$64,MATCH(AL46,Reit!F$8:F$64,0)),"")</f>
        <v/>
      </c>
      <c r="AL46" s="710" t="str">
        <f t="shared" si="13"/>
        <v/>
      </c>
      <c r="AM46" s="652"/>
    </row>
    <row r="47" spans="1:39" hidden="1" x14ac:dyDescent="0.2">
      <c r="A47" s="652"/>
      <c r="B47" s="652"/>
      <c r="C47" s="652"/>
      <c r="D47" s="652"/>
      <c r="E47" s="652"/>
      <c r="F47" s="652"/>
      <c r="G47" s="652"/>
      <c r="H47" s="652"/>
      <c r="I47" s="652"/>
      <c r="J47" s="652"/>
      <c r="K47" s="652"/>
      <c r="L47" s="652"/>
      <c r="M47" s="652"/>
      <c r="N47" s="652"/>
      <c r="O47" s="652"/>
      <c r="P47" s="652"/>
      <c r="Q47" s="652"/>
      <c r="R47" s="652"/>
      <c r="S47" s="652"/>
      <c r="T47" s="652"/>
      <c r="U47" s="652"/>
      <c r="V47" s="652"/>
      <c r="W47" s="652"/>
      <c r="X47" s="652"/>
      <c r="Y47" s="652"/>
      <c r="Z47" s="652"/>
      <c r="AA47" s="652"/>
      <c r="AB47" s="652"/>
      <c r="AC47" s="652"/>
      <c r="AD47" s="652"/>
      <c r="AE47" s="709" t="str">
        <f>IFERROR(INDEX(Reit!I$8:I$64,MATCH(AF47,Reit!F$8:F$64,0)),"")</f>
        <v/>
      </c>
      <c r="AF47" s="710" t="str">
        <f t="shared" si="10"/>
        <v/>
      </c>
      <c r="AG47" s="709" t="str">
        <f>IFERROR(INDEX(Reit!I$8:I$64,MATCH(AH47,Reit!F$8:F$64,0)),"")</f>
        <v/>
      </c>
      <c r="AH47" s="710" t="str">
        <f t="shared" si="11"/>
        <v/>
      </c>
      <c r="AI47" s="709" t="str">
        <f>IFERROR(INDEX(Reit!I$8:I$64,MATCH(AJ47,Reit!F$8:F$64,0)),"")</f>
        <v/>
      </c>
      <c r="AJ47" s="710" t="str">
        <f t="shared" si="12"/>
        <v/>
      </c>
      <c r="AK47" s="709" t="str">
        <f>IFERROR(INDEX(Reit!I$8:I$64,MATCH(AL47,Reit!F$8:F$64,0)),"")</f>
        <v/>
      </c>
      <c r="AL47" s="710" t="str">
        <f t="shared" si="13"/>
        <v/>
      </c>
      <c r="AM47" s="652"/>
    </row>
    <row r="48" spans="1:39" hidden="1" x14ac:dyDescent="0.2">
      <c r="A48" s="652"/>
      <c r="B48" s="652"/>
      <c r="C48" s="652"/>
      <c r="D48" s="652"/>
      <c r="E48" s="652"/>
      <c r="F48" s="652"/>
      <c r="G48" s="652"/>
      <c r="H48" s="652"/>
      <c r="I48" s="652"/>
      <c r="J48" s="652"/>
      <c r="K48" s="652"/>
      <c r="L48" s="652"/>
      <c r="M48" s="652"/>
      <c r="N48" s="652"/>
      <c r="O48" s="652"/>
      <c r="P48" s="652"/>
      <c r="Q48" s="652"/>
      <c r="R48" s="652"/>
      <c r="S48" s="652"/>
      <c r="T48" s="652"/>
      <c r="U48" s="652"/>
      <c r="V48" s="652"/>
      <c r="W48" s="652"/>
      <c r="X48" s="652"/>
      <c r="Y48" s="652"/>
      <c r="Z48" s="652"/>
      <c r="AA48" s="652"/>
      <c r="AB48" s="652"/>
      <c r="AC48" s="652"/>
      <c r="AD48" s="652"/>
      <c r="AE48" s="709" t="str">
        <f>IFERROR(INDEX(Reit!I$8:I$64,MATCH(AF48,Reit!F$8:F$64,0)),"")</f>
        <v/>
      </c>
      <c r="AF48" s="710" t="str">
        <f t="shared" si="10"/>
        <v/>
      </c>
      <c r="AG48" s="709" t="str">
        <f>IFERROR(INDEX(Reit!I$8:I$64,MATCH(AH48,Reit!F$8:F$64,0)),"")</f>
        <v/>
      </c>
      <c r="AH48" s="710" t="str">
        <f t="shared" si="11"/>
        <v/>
      </c>
      <c r="AI48" s="709" t="str">
        <f>IFERROR(INDEX(Reit!I$8:I$64,MATCH(AJ48,Reit!F$8:F$64,0)),"")</f>
        <v/>
      </c>
      <c r="AJ48" s="710" t="str">
        <f t="shared" si="12"/>
        <v/>
      </c>
      <c r="AK48" s="709" t="str">
        <f>IFERROR(INDEX(Reit!I$8:I$64,MATCH(AL48,Reit!F$8:F$64,0)),"")</f>
        <v/>
      </c>
      <c r="AL48" s="710" t="str">
        <f t="shared" si="13"/>
        <v/>
      </c>
      <c r="AM48" s="652"/>
    </row>
    <row r="49" spans="1:39" hidden="1" x14ac:dyDescent="0.2">
      <c r="A49" s="652"/>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52"/>
      <c r="AB49" s="652"/>
      <c r="AC49" s="652"/>
      <c r="AD49" s="652"/>
      <c r="AE49" s="709" t="str">
        <f>IFERROR(INDEX(Reit!I$8:I$64,MATCH(AF49,Reit!F$8:F$64,0)),"")</f>
        <v/>
      </c>
      <c r="AF49" s="710" t="str">
        <f t="shared" si="10"/>
        <v/>
      </c>
      <c r="AG49" s="709" t="str">
        <f>IFERROR(INDEX(Reit!I$8:I$64,MATCH(AH49,Reit!F$8:F$64,0)),"")</f>
        <v/>
      </c>
      <c r="AH49" s="710" t="str">
        <f t="shared" si="11"/>
        <v/>
      </c>
      <c r="AI49" s="709" t="str">
        <f>IFERROR(INDEX(Reit!I$8:I$64,MATCH(AJ49,Reit!F$8:F$64,0)),"")</f>
        <v/>
      </c>
      <c r="AJ49" s="710" t="str">
        <f t="shared" si="12"/>
        <v/>
      </c>
      <c r="AK49" s="709" t="str">
        <f>IFERROR(INDEX(Reit!I$8:I$64,MATCH(AL49,Reit!F$8:F$64,0)),"")</f>
        <v/>
      </c>
      <c r="AL49" s="710" t="str">
        <f t="shared" si="13"/>
        <v/>
      </c>
      <c r="AM49" s="652"/>
    </row>
    <row r="50" spans="1:39" hidden="1" x14ac:dyDescent="0.2">
      <c r="A50" s="652"/>
      <c r="B50" s="652"/>
      <c r="C50" s="652"/>
      <c r="D50" s="652"/>
      <c r="E50" s="652"/>
      <c r="F50" s="652"/>
      <c r="G50" s="652"/>
      <c r="H50" s="652"/>
      <c r="I50" s="652"/>
      <c r="J50" s="652"/>
      <c r="K50" s="652"/>
      <c r="L50" s="652"/>
      <c r="M50" s="652"/>
      <c r="N50" s="652"/>
      <c r="O50" s="652"/>
      <c r="P50" s="652"/>
      <c r="Q50" s="652"/>
      <c r="R50" s="652"/>
      <c r="S50" s="652"/>
      <c r="T50" s="652"/>
      <c r="U50" s="652"/>
      <c r="V50" s="652"/>
      <c r="W50" s="652"/>
      <c r="X50" s="652"/>
      <c r="Y50" s="652"/>
      <c r="Z50" s="652"/>
      <c r="AA50" s="652"/>
      <c r="AB50" s="652"/>
      <c r="AC50" s="652"/>
      <c r="AD50" s="652"/>
      <c r="AE50" s="709" t="str">
        <f>IFERROR(INDEX(Reit!I$8:I$64,MATCH(AF50,Reit!F$8:F$64,0)),"")</f>
        <v/>
      </c>
      <c r="AF50" s="710" t="str">
        <f t="shared" si="10"/>
        <v/>
      </c>
      <c r="AG50" s="709" t="str">
        <f>IFERROR(INDEX(Reit!I$8:I$64,MATCH(AH50,Reit!F$8:F$64,0)),"")</f>
        <v/>
      </c>
      <c r="AH50" s="710" t="str">
        <f t="shared" si="11"/>
        <v/>
      </c>
      <c r="AI50" s="709" t="str">
        <f>IFERROR(INDEX(Reit!I$8:I$64,MATCH(AJ50,Reit!F$8:F$64,0)),"")</f>
        <v/>
      </c>
      <c r="AJ50" s="710" t="str">
        <f t="shared" si="12"/>
        <v/>
      </c>
      <c r="AK50" s="709" t="str">
        <f>IFERROR(INDEX(Reit!I$8:I$64,MATCH(AL50,Reit!F$8:F$64,0)),"")</f>
        <v/>
      </c>
      <c r="AL50" s="710" t="str">
        <f t="shared" si="13"/>
        <v/>
      </c>
      <c r="AM50" s="652"/>
    </row>
    <row r="51" spans="1:39" hidden="1" x14ac:dyDescent="0.2">
      <c r="A51" s="652"/>
      <c r="B51" s="652"/>
      <c r="C51" s="652"/>
      <c r="D51" s="652"/>
      <c r="E51" s="652"/>
      <c r="F51" s="652"/>
      <c r="G51" s="652"/>
      <c r="H51" s="652"/>
      <c r="I51" s="652"/>
      <c r="J51" s="652"/>
      <c r="K51" s="652"/>
      <c r="L51" s="652"/>
      <c r="M51" s="652"/>
      <c r="N51" s="652"/>
      <c r="O51" s="652"/>
      <c r="P51" s="652"/>
      <c r="Q51" s="652"/>
      <c r="R51" s="652"/>
      <c r="S51" s="652"/>
      <c r="T51" s="652"/>
      <c r="U51" s="652"/>
      <c r="V51" s="652"/>
      <c r="W51" s="652"/>
      <c r="X51" s="652"/>
      <c r="Y51" s="652"/>
      <c r="Z51" s="652"/>
      <c r="AA51" s="652"/>
      <c r="AB51" s="652"/>
      <c r="AC51" s="652"/>
      <c r="AD51" s="652"/>
      <c r="AE51" s="709" t="str">
        <f>IFERROR(INDEX(Reit!I$8:I$64,MATCH(AF51,Reit!F$8:F$64,0)),"")</f>
        <v/>
      </c>
      <c r="AF51" s="710" t="str">
        <f t="shared" si="10"/>
        <v/>
      </c>
      <c r="AG51" s="709" t="str">
        <f>IFERROR(INDEX(Reit!I$8:I$64,MATCH(AH51,Reit!F$8:F$64,0)),"")</f>
        <v/>
      </c>
      <c r="AH51" s="710" t="str">
        <f t="shared" si="11"/>
        <v/>
      </c>
      <c r="AI51" s="709" t="str">
        <f>IFERROR(INDEX(Reit!I$8:I$64,MATCH(AJ51,Reit!F$8:F$64,0)),"")</f>
        <v/>
      </c>
      <c r="AJ51" s="710" t="str">
        <f t="shared" si="12"/>
        <v/>
      </c>
      <c r="AK51" s="709" t="str">
        <f>IFERROR(INDEX(Reit!I$8:I$64,MATCH(AL51,Reit!F$8:F$64,0)),"")</f>
        <v/>
      </c>
      <c r="AL51" s="710" t="str">
        <f t="shared" si="13"/>
        <v/>
      </c>
      <c r="AM51" s="652"/>
    </row>
    <row r="52" spans="1:39" hidden="1" x14ac:dyDescent="0.2">
      <c r="A52" s="652"/>
      <c r="B52" s="652"/>
      <c r="C52" s="652"/>
      <c r="D52" s="652"/>
      <c r="E52" s="652"/>
      <c r="F52" s="652"/>
      <c r="G52" s="652"/>
      <c r="H52" s="652"/>
      <c r="I52" s="652"/>
      <c r="J52" s="652"/>
      <c r="K52" s="652"/>
      <c r="L52" s="652"/>
      <c r="M52" s="652"/>
      <c r="N52" s="652"/>
      <c r="O52" s="652"/>
      <c r="P52" s="652"/>
      <c r="Q52" s="652"/>
      <c r="R52" s="652"/>
      <c r="S52" s="652"/>
      <c r="T52" s="652"/>
      <c r="U52" s="652"/>
      <c r="V52" s="652"/>
      <c r="W52" s="652"/>
      <c r="X52" s="652"/>
      <c r="Y52" s="652"/>
      <c r="Z52" s="652"/>
      <c r="AA52" s="652"/>
      <c r="AB52" s="652"/>
      <c r="AC52" s="652"/>
      <c r="AD52" s="652"/>
      <c r="AE52" s="709" t="str">
        <f>IFERROR(INDEX(Reit!I$8:I$64,MATCH(AF52,Reit!F$8:F$64,0)),"")</f>
        <v/>
      </c>
      <c r="AF52" s="710" t="str">
        <f t="shared" si="10"/>
        <v/>
      </c>
      <c r="AG52" s="709" t="str">
        <f>IFERROR(INDEX(Reit!I$8:I$64,MATCH(AH52,Reit!F$8:F$64,0)),"")</f>
        <v/>
      </c>
      <c r="AH52" s="710" t="str">
        <f t="shared" si="11"/>
        <v/>
      </c>
      <c r="AI52" s="709" t="str">
        <f>IFERROR(INDEX(Reit!I$8:I$64,MATCH(AJ52,Reit!F$8:F$64,0)),"")</f>
        <v/>
      </c>
      <c r="AJ52" s="710" t="str">
        <f t="shared" si="12"/>
        <v/>
      </c>
      <c r="AK52" s="709" t="str">
        <f>IFERROR(INDEX(Reit!I$8:I$64,MATCH(AL52,Reit!F$8:F$64,0)),"")</f>
        <v/>
      </c>
      <c r="AL52" s="710" t="str">
        <f t="shared" si="13"/>
        <v/>
      </c>
      <c r="AM52" s="652"/>
    </row>
    <row r="53" spans="1:39" hidden="1" x14ac:dyDescent="0.2">
      <c r="A53" s="652"/>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52"/>
      <c r="AB53" s="652"/>
      <c r="AC53" s="652"/>
      <c r="AD53" s="652"/>
      <c r="AE53" s="709" t="str">
        <f>IFERROR(INDEX(Reit!I$8:I$64,MATCH(AF53,Reit!F$8:F$64,0)),"")</f>
        <v/>
      </c>
      <c r="AF53" s="710" t="str">
        <f t="shared" si="10"/>
        <v/>
      </c>
      <c r="AG53" s="709" t="str">
        <f>IFERROR(INDEX(Reit!I$8:I$64,MATCH(AH53,Reit!F$8:F$64,0)),"")</f>
        <v/>
      </c>
      <c r="AH53" s="710" t="str">
        <f t="shared" si="11"/>
        <v/>
      </c>
      <c r="AI53" s="709" t="str">
        <f>IFERROR(INDEX(Reit!I$8:I$64,MATCH(AJ53,Reit!F$8:F$64,0)),"")</f>
        <v/>
      </c>
      <c r="AJ53" s="710" t="str">
        <f t="shared" si="12"/>
        <v/>
      </c>
      <c r="AK53" s="709" t="str">
        <f>IFERROR(INDEX(Reit!I$8:I$64,MATCH(AL53,Reit!F$8:F$64,0)),"")</f>
        <v/>
      </c>
      <c r="AL53" s="710" t="str">
        <f t="shared" si="13"/>
        <v/>
      </c>
      <c r="AM53" s="652"/>
    </row>
    <row r="54" spans="1:39" hidden="1" x14ac:dyDescent="0.2">
      <c r="A54" s="652"/>
      <c r="B54" s="652"/>
      <c r="C54" s="652"/>
      <c r="D54" s="652"/>
      <c r="E54" s="652"/>
      <c r="F54" s="652"/>
      <c r="G54" s="652"/>
      <c r="H54" s="652"/>
      <c r="I54" s="652"/>
      <c r="J54" s="652"/>
      <c r="K54" s="652"/>
      <c r="L54" s="652"/>
      <c r="M54" s="652"/>
      <c r="N54" s="652"/>
      <c r="O54" s="652"/>
      <c r="P54" s="652"/>
      <c r="Q54" s="652"/>
      <c r="R54" s="652"/>
      <c r="S54" s="652"/>
      <c r="T54" s="652"/>
      <c r="U54" s="652"/>
      <c r="V54" s="652"/>
      <c r="W54" s="652"/>
      <c r="X54" s="652"/>
      <c r="Y54" s="652"/>
      <c r="Z54" s="652"/>
      <c r="AA54" s="652"/>
      <c r="AB54" s="652"/>
      <c r="AC54" s="652"/>
      <c r="AD54" s="652"/>
      <c r="AE54" s="709" t="str">
        <f>IFERROR(INDEX(Reit!I$8:I$64,MATCH(AF54,Reit!F$8:F$64,0)),"")</f>
        <v/>
      </c>
      <c r="AF54" s="710" t="str">
        <f t="shared" si="10"/>
        <v/>
      </c>
      <c r="AG54" s="709" t="str">
        <f>IFERROR(INDEX(Reit!I$8:I$64,MATCH(AH54,Reit!F$8:F$64,0)),"")</f>
        <v/>
      </c>
      <c r="AH54" s="710" t="str">
        <f t="shared" si="11"/>
        <v/>
      </c>
      <c r="AI54" s="709" t="str">
        <f>IFERROR(INDEX(Reit!I$8:I$64,MATCH(AJ54,Reit!F$8:F$64,0)),"")</f>
        <v/>
      </c>
      <c r="AJ54" s="710" t="str">
        <f t="shared" si="12"/>
        <v/>
      </c>
      <c r="AK54" s="709" t="str">
        <f>IFERROR(INDEX(Reit!I$8:I$64,MATCH(AL54,Reit!F$8:F$64,0)),"")</f>
        <v/>
      </c>
      <c r="AL54" s="710" t="str">
        <f t="shared" si="13"/>
        <v/>
      </c>
      <c r="AM54" s="652"/>
    </row>
    <row r="55" spans="1:39" hidden="1" x14ac:dyDescent="0.2">
      <c r="A55" s="652"/>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52"/>
      <c r="AB55" s="652"/>
      <c r="AC55" s="652"/>
      <c r="AD55" s="652"/>
      <c r="AE55" s="709" t="str">
        <f>IFERROR(INDEX(Reit!I$8:I$64,MATCH(AF55,Reit!F$8:F$64,0)),"")</f>
        <v/>
      </c>
      <c r="AF55" s="710" t="str">
        <f t="shared" si="10"/>
        <v/>
      </c>
      <c r="AG55" s="709" t="str">
        <f>IFERROR(INDEX(Reit!I$8:I$64,MATCH(AH55,Reit!F$8:F$64,0)),"")</f>
        <v/>
      </c>
      <c r="AH55" s="710" t="str">
        <f t="shared" si="11"/>
        <v/>
      </c>
      <c r="AI55" s="709" t="str">
        <f>IFERROR(INDEX(Reit!I$8:I$64,MATCH(AJ55,Reit!F$8:F$64,0)),"")</f>
        <v/>
      </c>
      <c r="AJ55" s="710" t="str">
        <f t="shared" si="12"/>
        <v/>
      </c>
      <c r="AK55" s="709" t="str">
        <f>IFERROR(INDEX(Reit!I$8:I$64,MATCH(AL55,Reit!F$8:F$64,0)),"")</f>
        <v/>
      </c>
      <c r="AL55" s="710" t="str">
        <f t="shared" si="13"/>
        <v/>
      </c>
      <c r="AM55" s="652"/>
    </row>
    <row r="56" spans="1:39" hidden="1" x14ac:dyDescent="0.2">
      <c r="A56" s="652"/>
      <c r="B56" s="652"/>
      <c r="C56" s="652"/>
      <c r="D56" s="652"/>
      <c r="E56" s="652"/>
      <c r="F56" s="652"/>
      <c r="G56" s="652"/>
      <c r="H56" s="652"/>
      <c r="I56" s="652"/>
      <c r="J56" s="652"/>
      <c r="K56" s="652"/>
      <c r="L56" s="652"/>
      <c r="M56" s="652"/>
      <c r="N56" s="652"/>
      <c r="O56" s="652"/>
      <c r="P56" s="652"/>
      <c r="Q56" s="652"/>
      <c r="R56" s="652"/>
      <c r="S56" s="652"/>
      <c r="T56" s="652"/>
      <c r="U56" s="652"/>
      <c r="V56" s="652"/>
      <c r="W56" s="652"/>
      <c r="X56" s="652"/>
      <c r="Y56" s="652"/>
      <c r="Z56" s="652"/>
      <c r="AA56" s="652"/>
      <c r="AB56" s="652"/>
      <c r="AC56" s="652"/>
      <c r="AD56" s="652"/>
      <c r="AE56" s="709" t="str">
        <f>IFERROR(INDEX(Reit!I$8:I$64,MATCH(AF56,Reit!F$8:F$64,0)),"")</f>
        <v/>
      </c>
      <c r="AF56" s="710" t="str">
        <f t="shared" si="10"/>
        <v/>
      </c>
      <c r="AG56" s="709" t="str">
        <f>IFERROR(INDEX(Reit!I$8:I$64,MATCH(AH56,Reit!F$8:F$64,0)),"")</f>
        <v/>
      </c>
      <c r="AH56" s="710" t="str">
        <f t="shared" si="11"/>
        <v/>
      </c>
      <c r="AI56" s="709" t="str">
        <f>IFERROR(INDEX(Reit!I$8:I$64,MATCH(AJ56,Reit!F$8:F$64,0)),"")</f>
        <v/>
      </c>
      <c r="AJ56" s="710" t="str">
        <f t="shared" si="12"/>
        <v/>
      </c>
      <c r="AK56" s="709" t="str">
        <f>IFERROR(INDEX(Reit!I$8:I$64,MATCH(AL56,Reit!F$8:F$64,0)),"")</f>
        <v/>
      </c>
      <c r="AL56" s="710" t="str">
        <f t="shared" si="13"/>
        <v/>
      </c>
      <c r="AM56" s="652"/>
    </row>
    <row r="57" spans="1:39" hidden="1" x14ac:dyDescent="0.2">
      <c r="A57" s="652"/>
      <c r="B57" s="652"/>
      <c r="C57" s="652"/>
      <c r="D57" s="652"/>
      <c r="E57" s="652"/>
      <c r="F57" s="652"/>
      <c r="G57" s="652"/>
      <c r="H57" s="652"/>
      <c r="I57" s="652"/>
      <c r="J57" s="652"/>
      <c r="K57" s="652"/>
      <c r="L57" s="652"/>
      <c r="M57" s="652"/>
      <c r="N57" s="652"/>
      <c r="O57" s="652"/>
      <c r="P57" s="652"/>
      <c r="Q57" s="652"/>
      <c r="R57" s="652"/>
      <c r="S57" s="652"/>
      <c r="T57" s="652"/>
      <c r="U57" s="652"/>
      <c r="V57" s="652"/>
      <c r="W57" s="652"/>
      <c r="X57" s="652"/>
      <c r="Y57" s="652"/>
      <c r="Z57" s="652"/>
      <c r="AA57" s="652"/>
      <c r="AB57" s="652"/>
      <c r="AC57" s="652"/>
      <c r="AD57" s="652"/>
      <c r="AE57" s="709" t="str">
        <f>IFERROR(INDEX(Reit!I$8:I$64,MATCH(AF57,Reit!F$8:F$64,0)),"")</f>
        <v/>
      </c>
      <c r="AF57" s="710" t="str">
        <f t="shared" si="10"/>
        <v/>
      </c>
      <c r="AG57" s="709" t="str">
        <f>IFERROR(INDEX(Reit!I$8:I$64,MATCH(AH57,Reit!F$8:F$64,0)),"")</f>
        <v/>
      </c>
      <c r="AH57" s="710" t="str">
        <f t="shared" si="11"/>
        <v/>
      </c>
      <c r="AI57" s="709" t="str">
        <f>IFERROR(INDEX(Reit!I$8:I$64,MATCH(AJ57,Reit!F$8:F$64,0)),"")</f>
        <v/>
      </c>
      <c r="AJ57" s="710" t="str">
        <f t="shared" si="12"/>
        <v/>
      </c>
      <c r="AK57" s="709" t="str">
        <f>IFERROR(INDEX(Reit!I$8:I$64,MATCH(AL57,Reit!F$8:F$64,0)),"")</f>
        <v/>
      </c>
      <c r="AL57" s="710" t="str">
        <f t="shared" si="13"/>
        <v/>
      </c>
      <c r="AM57" s="652"/>
    </row>
    <row r="58" spans="1:39" hidden="1" x14ac:dyDescent="0.2">
      <c r="A58" s="652"/>
      <c r="B58" s="652"/>
      <c r="C58" s="652"/>
      <c r="D58" s="652"/>
      <c r="E58" s="652"/>
      <c r="F58" s="652"/>
      <c r="G58" s="652"/>
      <c r="H58" s="652"/>
      <c r="I58" s="652"/>
      <c r="J58" s="652"/>
      <c r="K58" s="652"/>
      <c r="L58" s="652"/>
      <c r="M58" s="652"/>
      <c r="N58" s="652"/>
      <c r="O58" s="652"/>
      <c r="P58" s="652"/>
      <c r="Q58" s="652"/>
      <c r="R58" s="652"/>
      <c r="S58" s="652"/>
      <c r="T58" s="652"/>
      <c r="U58" s="652"/>
      <c r="V58" s="652"/>
      <c r="W58" s="652"/>
      <c r="X58" s="652"/>
      <c r="Y58" s="652"/>
      <c r="Z58" s="652"/>
      <c r="AA58" s="652"/>
      <c r="AB58" s="652"/>
      <c r="AC58" s="652"/>
      <c r="AD58" s="652"/>
      <c r="AE58" s="709" t="str">
        <f>IFERROR(INDEX(Reit!I$8:I$64,MATCH(AF58,Reit!F$8:F$64,0)),"")</f>
        <v/>
      </c>
      <c r="AF58" s="710" t="str">
        <f t="shared" si="10"/>
        <v/>
      </c>
      <c r="AG58" s="709" t="str">
        <f>IFERROR(INDEX(Reit!I$8:I$64,MATCH(AH58,Reit!F$8:F$64,0)),"")</f>
        <v/>
      </c>
      <c r="AH58" s="710" t="str">
        <f t="shared" si="11"/>
        <v/>
      </c>
      <c r="AI58" s="709" t="str">
        <f>IFERROR(INDEX(Reit!I$8:I$64,MATCH(AJ58,Reit!F$8:F$64,0)),"")</f>
        <v/>
      </c>
      <c r="AJ58" s="710" t="str">
        <f t="shared" si="12"/>
        <v/>
      </c>
      <c r="AK58" s="709" t="str">
        <f>IFERROR(INDEX(Reit!I$8:I$64,MATCH(AL58,Reit!F$8:F$64,0)),"")</f>
        <v/>
      </c>
      <c r="AL58" s="710" t="str">
        <f t="shared" si="13"/>
        <v/>
      </c>
      <c r="AM58" s="652"/>
    </row>
    <row r="59" spans="1:39" hidden="1" x14ac:dyDescent="0.2">
      <c r="A59" s="652"/>
      <c r="B59" s="652"/>
      <c r="C59" s="652"/>
      <c r="D59" s="652"/>
      <c r="E59" s="652"/>
      <c r="F59" s="652"/>
      <c r="G59" s="652"/>
      <c r="H59" s="652"/>
      <c r="I59" s="652"/>
      <c r="J59" s="652"/>
      <c r="K59" s="652"/>
      <c r="L59" s="652"/>
      <c r="M59" s="652"/>
      <c r="N59" s="652"/>
      <c r="O59" s="652"/>
      <c r="P59" s="652"/>
      <c r="Q59" s="652"/>
      <c r="R59" s="652"/>
      <c r="S59" s="652"/>
      <c r="T59" s="652"/>
      <c r="U59" s="652"/>
      <c r="V59" s="652"/>
      <c r="W59" s="652"/>
      <c r="X59" s="652"/>
      <c r="Y59" s="652"/>
      <c r="Z59" s="652"/>
      <c r="AA59" s="652"/>
      <c r="AB59" s="652"/>
      <c r="AC59" s="652"/>
      <c r="AD59" s="652"/>
      <c r="AE59" s="709" t="str">
        <f>IFERROR(INDEX(Reit!I$8:I$64,MATCH(AF59,Reit!F$8:F$64,0)),"")</f>
        <v/>
      </c>
      <c r="AF59" s="710" t="str">
        <f t="shared" si="10"/>
        <v/>
      </c>
      <c r="AG59" s="709" t="str">
        <f>IFERROR(INDEX(Reit!I$8:I$64,MATCH(AH59,Reit!F$8:F$64,0)),"")</f>
        <v/>
      </c>
      <c r="AH59" s="710" t="str">
        <f t="shared" si="11"/>
        <v/>
      </c>
      <c r="AI59" s="709" t="str">
        <f>IFERROR(INDEX(Reit!I$8:I$64,MATCH(AJ59,Reit!F$8:F$64,0)),"")</f>
        <v/>
      </c>
      <c r="AJ59" s="710" t="str">
        <f t="shared" si="12"/>
        <v/>
      </c>
      <c r="AK59" s="709" t="str">
        <f>IFERROR(INDEX(Reit!I$8:I$64,MATCH(AL59,Reit!F$8:F$64,0)),"")</f>
        <v/>
      </c>
      <c r="AL59" s="710" t="str">
        <f t="shared" si="13"/>
        <v/>
      </c>
      <c r="AM59" s="652"/>
    </row>
    <row r="60" spans="1:39" hidden="1" x14ac:dyDescent="0.2">
      <c r="A60" s="652"/>
      <c r="B60" s="652"/>
      <c r="C60" s="652"/>
      <c r="D60" s="652"/>
      <c r="E60" s="652"/>
      <c r="F60" s="652"/>
      <c r="G60" s="652"/>
      <c r="H60" s="652"/>
      <c r="I60" s="652"/>
      <c r="J60" s="652"/>
      <c r="K60" s="652"/>
      <c r="L60" s="652"/>
      <c r="M60" s="652"/>
      <c r="N60" s="652"/>
      <c r="O60" s="652"/>
      <c r="P60" s="652"/>
      <c r="Q60" s="652"/>
      <c r="R60" s="652"/>
      <c r="S60" s="652"/>
      <c r="T60" s="652"/>
      <c r="U60" s="652"/>
      <c r="V60" s="652"/>
      <c r="W60" s="652"/>
      <c r="X60" s="652"/>
      <c r="Y60" s="652"/>
      <c r="Z60" s="652"/>
      <c r="AA60" s="652"/>
      <c r="AB60" s="652"/>
      <c r="AC60" s="652"/>
      <c r="AD60" s="652"/>
      <c r="AE60" s="709" t="str">
        <f>IFERROR(INDEX(Reit!I$8:I$64,MATCH(AF60,Reit!F$8:F$64,0)),"")</f>
        <v/>
      </c>
      <c r="AF60" s="710" t="str">
        <f t="shared" si="10"/>
        <v/>
      </c>
      <c r="AG60" s="709" t="str">
        <f>IFERROR(INDEX(Reit!I$8:I$64,MATCH(AH60,Reit!F$8:F$64,0)),"")</f>
        <v/>
      </c>
      <c r="AH60" s="710" t="str">
        <f t="shared" si="11"/>
        <v/>
      </c>
      <c r="AI60" s="709" t="str">
        <f>IFERROR(INDEX(Reit!I$8:I$64,MATCH(AJ60,Reit!F$8:F$64,0)),"")</f>
        <v/>
      </c>
      <c r="AJ60" s="710" t="str">
        <f t="shared" si="12"/>
        <v/>
      </c>
      <c r="AK60" s="709" t="str">
        <f>IFERROR(INDEX(Reit!I$8:I$64,MATCH(AL60,Reit!F$8:F$64,0)),"")</f>
        <v/>
      </c>
      <c r="AL60" s="710" t="str">
        <f t="shared" si="13"/>
        <v/>
      </c>
      <c r="AM60" s="652"/>
    </row>
    <row r="61" spans="1:39" hidden="1" x14ac:dyDescent="0.2">
      <c r="A61" s="652"/>
      <c r="B61" s="652"/>
      <c r="C61" s="652"/>
      <c r="D61" s="652"/>
      <c r="E61" s="652"/>
      <c r="F61" s="652"/>
      <c r="G61" s="652"/>
      <c r="H61" s="652"/>
      <c r="I61" s="652"/>
      <c r="J61" s="652"/>
      <c r="K61" s="652"/>
      <c r="L61" s="652"/>
      <c r="M61" s="652"/>
      <c r="N61" s="652"/>
      <c r="O61" s="652"/>
      <c r="P61" s="652"/>
      <c r="Q61" s="652"/>
      <c r="R61" s="652"/>
      <c r="S61" s="652"/>
      <c r="T61" s="652"/>
      <c r="U61" s="652"/>
      <c r="V61" s="652"/>
      <c r="W61" s="652"/>
      <c r="X61" s="652"/>
      <c r="Y61" s="652"/>
      <c r="Z61" s="652"/>
      <c r="AA61" s="652"/>
      <c r="AB61" s="652"/>
      <c r="AC61" s="652"/>
      <c r="AD61" s="652"/>
      <c r="AE61" s="709" t="str">
        <f>IFERROR(INDEX(Reit!I$8:I$64,MATCH(AF61,Reit!F$8:F$64,0)),"")</f>
        <v/>
      </c>
      <c r="AF61" s="710" t="str">
        <f t="shared" si="10"/>
        <v/>
      </c>
      <c r="AG61" s="709" t="str">
        <f>IFERROR(INDEX(Reit!I$8:I$64,MATCH(AH61,Reit!F$8:F$64,0)),"")</f>
        <v/>
      </c>
      <c r="AH61" s="710" t="str">
        <f t="shared" si="11"/>
        <v/>
      </c>
      <c r="AI61" s="709" t="str">
        <f>IFERROR(INDEX(Reit!I$8:I$64,MATCH(AJ61,Reit!F$8:F$64,0)),"")</f>
        <v/>
      </c>
      <c r="AJ61" s="710" t="str">
        <f t="shared" si="12"/>
        <v/>
      </c>
      <c r="AK61" s="709" t="str">
        <f>IFERROR(INDEX(Reit!I$8:I$64,MATCH(AL61,Reit!F$8:F$64,0)),"")</f>
        <v/>
      </c>
      <c r="AL61" s="710" t="str">
        <f t="shared" si="13"/>
        <v/>
      </c>
      <c r="AM61" s="652"/>
    </row>
    <row r="62" spans="1:39" hidden="1" x14ac:dyDescent="0.2">
      <c r="A62" s="652"/>
      <c r="B62" s="652"/>
      <c r="C62" s="652"/>
      <c r="D62" s="652"/>
      <c r="E62" s="652"/>
      <c r="F62" s="652"/>
      <c r="G62" s="652"/>
      <c r="H62" s="652"/>
      <c r="I62" s="652"/>
      <c r="J62" s="652"/>
      <c r="K62" s="652"/>
      <c r="L62" s="652"/>
      <c r="M62" s="652"/>
      <c r="N62" s="652"/>
      <c r="O62" s="652"/>
      <c r="P62" s="652"/>
      <c r="Q62" s="652"/>
      <c r="R62" s="652"/>
      <c r="S62" s="652"/>
      <c r="T62" s="652"/>
      <c r="U62" s="652"/>
      <c r="V62" s="652"/>
      <c r="W62" s="652"/>
      <c r="X62" s="652"/>
      <c r="Y62" s="652"/>
      <c r="Z62" s="652"/>
      <c r="AA62" s="652"/>
      <c r="AB62" s="652"/>
      <c r="AC62" s="652"/>
      <c r="AD62" s="652"/>
      <c r="AE62" s="709" t="str">
        <f>IFERROR(INDEX(Reit!I$8:I$64,MATCH(AF62,Reit!F$8:F$64,0)),"")</f>
        <v/>
      </c>
      <c r="AF62" s="710" t="str">
        <f t="shared" si="10"/>
        <v/>
      </c>
      <c r="AG62" s="709" t="str">
        <f>IFERROR(INDEX(Reit!I$8:I$64,MATCH(AH62,Reit!F$8:F$64,0)),"")</f>
        <v/>
      </c>
      <c r="AH62" s="710" t="str">
        <f t="shared" si="11"/>
        <v/>
      </c>
      <c r="AI62" s="709" t="str">
        <f>IFERROR(INDEX(Reit!I$8:I$64,MATCH(AJ62,Reit!F$8:F$64,0)),"")</f>
        <v/>
      </c>
      <c r="AJ62" s="710" t="str">
        <f t="shared" si="12"/>
        <v/>
      </c>
      <c r="AK62" s="709" t="str">
        <f>IFERROR(INDEX(Reit!I$8:I$64,MATCH(AL62,Reit!F$8:F$64,0)),"")</f>
        <v/>
      </c>
      <c r="AL62" s="710" t="str">
        <f t="shared" si="13"/>
        <v/>
      </c>
      <c r="AM62" s="652"/>
    </row>
    <row r="63" spans="1:39" hidden="1" x14ac:dyDescent="0.2">
      <c r="A63" s="652"/>
      <c r="B63" s="652"/>
      <c r="C63" s="652"/>
      <c r="D63" s="652"/>
      <c r="E63" s="652"/>
      <c r="F63" s="652"/>
      <c r="G63" s="652"/>
      <c r="H63" s="652"/>
      <c r="I63" s="652"/>
      <c r="J63" s="652"/>
      <c r="K63" s="652"/>
      <c r="L63" s="652"/>
      <c r="M63" s="652"/>
      <c r="N63" s="652"/>
      <c r="O63" s="652"/>
      <c r="P63" s="652"/>
      <c r="Q63" s="652"/>
      <c r="R63" s="652"/>
      <c r="S63" s="652"/>
      <c r="T63" s="652"/>
      <c r="U63" s="652"/>
      <c r="V63" s="652"/>
      <c r="W63" s="652"/>
      <c r="X63" s="652"/>
      <c r="Y63" s="652"/>
      <c r="Z63" s="652"/>
      <c r="AA63" s="652"/>
      <c r="AB63" s="652"/>
      <c r="AC63" s="652"/>
      <c r="AD63" s="652"/>
      <c r="AE63" s="709" t="str">
        <f>IFERROR(INDEX(Reit!I$8:I$64,MATCH(AF63,Reit!F$8:F$64,0)),"")</f>
        <v/>
      </c>
      <c r="AF63" s="710" t="str">
        <f t="shared" si="10"/>
        <v/>
      </c>
      <c r="AG63" s="709" t="str">
        <f>IFERROR(INDEX(Reit!I$8:I$64,MATCH(AH63,Reit!F$8:F$64,0)),"")</f>
        <v/>
      </c>
      <c r="AH63" s="710" t="str">
        <f t="shared" si="11"/>
        <v/>
      </c>
      <c r="AI63" s="709" t="str">
        <f>IFERROR(INDEX(Reit!I$8:I$64,MATCH(AJ63,Reit!F$8:F$64,0)),"")</f>
        <v/>
      </c>
      <c r="AJ63" s="710" t="str">
        <f t="shared" si="12"/>
        <v/>
      </c>
      <c r="AK63" s="709" t="str">
        <f>IFERROR(INDEX(Reit!I$8:I$64,MATCH(AL63,Reit!F$8:F$64,0)),"")</f>
        <v/>
      </c>
      <c r="AL63" s="710" t="str">
        <f t="shared" si="13"/>
        <v/>
      </c>
      <c r="AM63" s="652"/>
    </row>
    <row r="64" spans="1:39" hidden="1" x14ac:dyDescent="0.2">
      <c r="A64" s="652"/>
      <c r="B64" s="652"/>
      <c r="C64" s="652"/>
      <c r="D64" s="652"/>
      <c r="E64" s="652"/>
      <c r="F64" s="652"/>
      <c r="G64" s="652"/>
      <c r="H64" s="652"/>
      <c r="I64" s="652"/>
      <c r="J64" s="652"/>
      <c r="K64" s="652"/>
      <c r="L64" s="652"/>
      <c r="M64" s="652"/>
      <c r="N64" s="652"/>
      <c r="O64" s="652"/>
      <c r="P64" s="652"/>
      <c r="Q64" s="652"/>
      <c r="R64" s="652"/>
      <c r="S64" s="652"/>
      <c r="T64" s="652"/>
      <c r="U64" s="652"/>
      <c r="V64" s="652"/>
      <c r="W64" s="652"/>
      <c r="X64" s="652"/>
      <c r="Y64" s="652"/>
      <c r="Z64" s="652"/>
      <c r="AA64" s="652"/>
      <c r="AB64" s="652"/>
      <c r="AC64" s="652"/>
      <c r="AD64" s="652"/>
      <c r="AE64" s="709" t="str">
        <f>IFERROR(INDEX(Reit!I$8:I$64,MATCH(AF64,Reit!F$8:F$64,0)),"")</f>
        <v/>
      </c>
      <c r="AF64" s="710" t="str">
        <f t="shared" si="10"/>
        <v/>
      </c>
      <c r="AG64" s="709" t="str">
        <f>IFERROR(INDEX(Reit!I$8:I$64,MATCH(AH64,Reit!F$8:F$64,0)),"")</f>
        <v/>
      </c>
      <c r="AH64" s="710" t="str">
        <f t="shared" si="11"/>
        <v/>
      </c>
      <c r="AI64" s="709" t="str">
        <f>IFERROR(INDEX(Reit!I$8:I$64,MATCH(AJ64,Reit!F$8:F$64,0)),"")</f>
        <v/>
      </c>
      <c r="AJ64" s="710" t="str">
        <f t="shared" si="12"/>
        <v/>
      </c>
      <c r="AK64" s="709" t="str">
        <f>IFERROR(INDEX(Reit!I$8:I$64,MATCH(AL64,Reit!F$8:F$64,0)),"")</f>
        <v/>
      </c>
      <c r="AL64" s="710" t="str">
        <f t="shared" si="13"/>
        <v/>
      </c>
      <c r="AM64" s="652"/>
    </row>
    <row r="65" spans="1:39" hidden="1" x14ac:dyDescent="0.2">
      <c r="A65" s="652"/>
      <c r="B65" s="652"/>
      <c r="C65" s="652"/>
      <c r="D65" s="652"/>
      <c r="E65" s="652"/>
      <c r="F65" s="652"/>
      <c r="G65" s="652"/>
      <c r="H65" s="652"/>
      <c r="I65" s="652"/>
      <c r="J65" s="652"/>
      <c r="K65" s="652"/>
      <c r="L65" s="652"/>
      <c r="M65" s="652"/>
      <c r="N65" s="652"/>
      <c r="O65" s="652"/>
      <c r="P65" s="652"/>
      <c r="Q65" s="652"/>
      <c r="R65" s="652"/>
      <c r="S65" s="652"/>
      <c r="T65" s="652"/>
      <c r="U65" s="652"/>
      <c r="V65" s="652"/>
      <c r="W65" s="652"/>
      <c r="X65" s="652"/>
      <c r="Y65" s="652"/>
      <c r="Z65" s="652"/>
      <c r="AA65" s="652"/>
      <c r="AB65" s="652"/>
      <c r="AC65" s="652"/>
      <c r="AD65" s="652"/>
      <c r="AE65" s="709" t="str">
        <f>IFERROR(INDEX(Reit!I$8:I$64,MATCH(AF65,Reit!F$8:F$64,0)),"")</f>
        <v/>
      </c>
      <c r="AF65" s="710" t="str">
        <f t="shared" si="10"/>
        <v/>
      </c>
      <c r="AG65" s="709" t="str">
        <f>IFERROR(INDEX(Reit!I$8:I$64,MATCH(AH65,Reit!F$8:F$64,0)),"")</f>
        <v/>
      </c>
      <c r="AH65" s="710" t="str">
        <f t="shared" si="11"/>
        <v/>
      </c>
      <c r="AI65" s="709" t="str">
        <f>IFERROR(INDEX(Reit!I$8:I$64,MATCH(AJ65,Reit!F$8:F$64,0)),"")</f>
        <v/>
      </c>
      <c r="AJ65" s="710" t="str">
        <f t="shared" si="12"/>
        <v/>
      </c>
      <c r="AK65" s="709" t="str">
        <f>IFERROR(INDEX(Reit!I$8:I$64,MATCH(AL65,Reit!F$8:F$64,0)),"")</f>
        <v/>
      </c>
      <c r="AL65" s="710" t="str">
        <f t="shared" si="13"/>
        <v/>
      </c>
      <c r="AM65" s="652"/>
    </row>
    <row r="66" spans="1:39" hidden="1" x14ac:dyDescent="0.2">
      <c r="A66" s="652"/>
      <c r="B66" s="652"/>
      <c r="C66" s="652"/>
      <c r="D66" s="652"/>
      <c r="E66" s="652"/>
      <c r="F66" s="652"/>
      <c r="G66" s="652"/>
      <c r="H66" s="652"/>
      <c r="I66" s="652"/>
      <c r="J66" s="652"/>
      <c r="K66" s="652"/>
      <c r="L66" s="652"/>
      <c r="M66" s="652"/>
      <c r="N66" s="652"/>
      <c r="O66" s="652"/>
      <c r="P66" s="652"/>
      <c r="Q66" s="652"/>
      <c r="R66" s="652"/>
      <c r="S66" s="652"/>
      <c r="T66" s="652"/>
      <c r="U66" s="652"/>
      <c r="V66" s="652"/>
      <c r="W66" s="652"/>
      <c r="X66" s="652"/>
      <c r="Y66" s="652"/>
      <c r="Z66" s="652"/>
      <c r="AA66" s="652"/>
      <c r="AB66" s="652"/>
      <c r="AC66" s="652"/>
      <c r="AD66" s="652"/>
      <c r="AE66" s="709" t="str">
        <f>IFERROR(INDEX(Reit!I$8:I$64,MATCH(AF66,Reit!F$8:F$64,0)),"")</f>
        <v/>
      </c>
      <c r="AF66" s="710" t="str">
        <f t="shared" si="10"/>
        <v/>
      </c>
      <c r="AG66" s="709" t="str">
        <f>IFERROR(INDEX(Reit!I$8:I$64,MATCH(AH66,Reit!F$8:F$64,0)),"")</f>
        <v/>
      </c>
      <c r="AH66" s="710" t="str">
        <f t="shared" si="11"/>
        <v/>
      </c>
      <c r="AI66" s="709" t="str">
        <f>IFERROR(INDEX(Reit!I$8:I$64,MATCH(AJ66,Reit!F$8:F$64,0)),"")</f>
        <v/>
      </c>
      <c r="AJ66" s="710" t="str">
        <f t="shared" si="12"/>
        <v/>
      </c>
      <c r="AK66" s="709" t="str">
        <f>IFERROR(INDEX(Reit!I$8:I$64,MATCH(AL66,Reit!F$8:F$64,0)),"")</f>
        <v/>
      </c>
      <c r="AL66" s="710" t="str">
        <f t="shared" si="13"/>
        <v/>
      </c>
      <c r="AM66" s="652"/>
    </row>
    <row r="67" spans="1:39" hidden="1" x14ac:dyDescent="0.2">
      <c r="A67" s="652"/>
      <c r="B67" s="652"/>
      <c r="C67" s="652"/>
      <c r="D67" s="652"/>
      <c r="E67" s="652"/>
      <c r="F67" s="652"/>
      <c r="G67" s="652"/>
      <c r="H67" s="652"/>
      <c r="I67" s="652"/>
      <c r="J67" s="652"/>
      <c r="K67" s="652"/>
      <c r="L67" s="652"/>
      <c r="M67" s="652"/>
      <c r="N67" s="652"/>
      <c r="O67" s="652"/>
      <c r="P67" s="652"/>
      <c r="Q67" s="652"/>
      <c r="R67" s="652"/>
      <c r="S67" s="652"/>
      <c r="T67" s="652"/>
      <c r="U67" s="652"/>
      <c r="V67" s="652"/>
      <c r="W67" s="652"/>
      <c r="X67" s="652"/>
      <c r="Y67" s="652"/>
      <c r="Z67" s="652"/>
      <c r="AA67" s="652"/>
      <c r="AB67" s="652"/>
      <c r="AC67" s="652"/>
      <c r="AD67" s="652"/>
      <c r="AE67" s="709" t="str">
        <f>IFERROR(INDEX(Reit!I$8:I$64,MATCH(AF67,Reit!F$8:F$64,0)),"")</f>
        <v/>
      </c>
      <c r="AF67" s="710" t="str">
        <f t="shared" si="10"/>
        <v/>
      </c>
      <c r="AG67" s="709" t="str">
        <f>IFERROR(INDEX(Reit!I$8:I$64,MATCH(AH67,Reit!F$8:F$64,0)),"")</f>
        <v/>
      </c>
      <c r="AH67" s="710" t="str">
        <f t="shared" si="11"/>
        <v/>
      </c>
      <c r="AI67" s="709" t="str">
        <f>IFERROR(INDEX(Reit!I$8:I$64,MATCH(AJ67,Reit!F$8:F$64,0)),"")</f>
        <v/>
      </c>
      <c r="AJ67" s="710" t="str">
        <f t="shared" si="12"/>
        <v/>
      </c>
      <c r="AK67" s="709" t="str">
        <f>IFERROR(INDEX(Reit!I$8:I$64,MATCH(AL67,Reit!F$8:F$64,0)),"")</f>
        <v/>
      </c>
      <c r="AL67" s="710" t="str">
        <f t="shared" si="13"/>
        <v/>
      </c>
      <c r="AM67" s="652"/>
    </row>
    <row r="68" spans="1:39" hidden="1" x14ac:dyDescent="0.2">
      <c r="A68" s="652"/>
      <c r="B68" s="652"/>
      <c r="C68" s="652"/>
      <c r="D68" s="652"/>
      <c r="E68" s="652"/>
      <c r="F68" s="652"/>
      <c r="G68" s="652"/>
      <c r="H68" s="652"/>
      <c r="I68" s="652"/>
      <c r="J68" s="652"/>
      <c r="K68" s="652"/>
      <c r="L68" s="652"/>
      <c r="M68" s="652"/>
      <c r="N68" s="652"/>
      <c r="O68" s="652"/>
      <c r="P68" s="652"/>
      <c r="Q68" s="652"/>
      <c r="R68" s="652"/>
      <c r="S68" s="652"/>
      <c r="T68" s="652"/>
      <c r="U68" s="652"/>
      <c r="V68" s="652"/>
      <c r="W68" s="652"/>
      <c r="X68" s="652"/>
      <c r="Y68" s="652"/>
      <c r="Z68" s="652"/>
      <c r="AA68" s="652"/>
      <c r="AB68" s="652"/>
      <c r="AC68" s="652"/>
      <c r="AD68" s="652"/>
      <c r="AE68" s="709" t="str">
        <f>IFERROR(INDEX(Reit!I$8:I$64,MATCH(AF68,Reit!F$8:F$64,0)),"")</f>
        <v/>
      </c>
      <c r="AF68" s="710" t="str">
        <f t="shared" si="10"/>
        <v/>
      </c>
      <c r="AG68" s="709" t="str">
        <f>IFERROR(INDEX(Reit!I$8:I$64,MATCH(AH68,Reit!F$8:F$64,0)),"")</f>
        <v/>
      </c>
      <c r="AH68" s="710" t="str">
        <f t="shared" si="11"/>
        <v/>
      </c>
      <c r="AI68" s="709" t="str">
        <f>IFERROR(INDEX(Reit!I$8:I$64,MATCH(AJ68,Reit!F$8:F$64,0)),"")</f>
        <v/>
      </c>
      <c r="AJ68" s="710" t="str">
        <f t="shared" si="12"/>
        <v/>
      </c>
      <c r="AK68" s="709" t="str">
        <f>IFERROR(INDEX(Reit!I$8:I$64,MATCH(AL68,Reit!F$8:F$64,0)),"")</f>
        <v/>
      </c>
      <c r="AL68" s="710" t="str">
        <f t="shared" si="13"/>
        <v/>
      </c>
      <c r="AM68" s="652"/>
    </row>
    <row r="69" spans="1:39" hidden="1" x14ac:dyDescent="0.2">
      <c r="A69" s="652"/>
      <c r="B69" s="652"/>
      <c r="C69" s="652"/>
      <c r="D69" s="652"/>
      <c r="E69" s="652"/>
      <c r="F69" s="652"/>
      <c r="G69" s="652"/>
      <c r="H69" s="652"/>
      <c r="I69" s="652"/>
      <c r="J69" s="652"/>
      <c r="K69" s="652"/>
      <c r="L69" s="652"/>
      <c r="M69" s="652"/>
      <c r="N69" s="652"/>
      <c r="O69" s="652"/>
      <c r="P69" s="652"/>
      <c r="Q69" s="652"/>
      <c r="R69" s="652"/>
      <c r="S69" s="652"/>
      <c r="T69" s="652"/>
      <c r="U69" s="652"/>
      <c r="V69" s="652"/>
      <c r="W69" s="652"/>
      <c r="X69" s="652"/>
      <c r="Y69" s="652"/>
      <c r="Z69" s="652"/>
      <c r="AA69" s="652"/>
      <c r="AB69" s="652"/>
      <c r="AC69" s="652"/>
      <c r="AD69" s="652"/>
      <c r="AE69" s="709" t="str">
        <f>IFERROR(INDEX(Reit!I$8:I$64,MATCH(AF69,Reit!F$8:F$64,0)),"")</f>
        <v/>
      </c>
      <c r="AF69" s="710" t="str">
        <f t="shared" si="10"/>
        <v/>
      </c>
      <c r="AG69" s="709" t="str">
        <f>IFERROR(INDEX(Reit!I$8:I$64,MATCH(AH69,Reit!F$8:F$64,0)),"")</f>
        <v/>
      </c>
      <c r="AH69" s="710" t="str">
        <f t="shared" si="11"/>
        <v/>
      </c>
      <c r="AI69" s="709" t="str">
        <f>IFERROR(INDEX(Reit!I$8:I$64,MATCH(AJ69,Reit!F$8:F$64,0)),"")</f>
        <v/>
      </c>
      <c r="AJ69" s="710" t="str">
        <f t="shared" si="12"/>
        <v/>
      </c>
      <c r="AK69" s="709" t="str">
        <f>IFERROR(INDEX(Reit!I$8:I$64,MATCH(AL69,Reit!F$8:F$64,0)),"")</f>
        <v/>
      </c>
      <c r="AL69" s="710" t="str">
        <f t="shared" si="13"/>
        <v/>
      </c>
      <c r="AM69" s="652"/>
    </row>
    <row r="70" spans="1:39" hidden="1" x14ac:dyDescent="0.2">
      <c r="A70" s="652"/>
      <c r="B70" s="652"/>
      <c r="C70" s="652"/>
      <c r="D70" s="652"/>
      <c r="E70" s="652"/>
      <c r="F70" s="652"/>
      <c r="G70" s="652"/>
      <c r="H70" s="652"/>
      <c r="I70" s="652"/>
      <c r="J70" s="652"/>
      <c r="K70" s="652"/>
      <c r="L70" s="652"/>
      <c r="M70" s="652"/>
      <c r="N70" s="652"/>
      <c r="O70" s="652"/>
      <c r="P70" s="652"/>
      <c r="Q70" s="652"/>
      <c r="R70" s="652"/>
      <c r="S70" s="652"/>
      <c r="T70" s="652"/>
      <c r="U70" s="652"/>
      <c r="V70" s="652"/>
      <c r="W70" s="652"/>
      <c r="X70" s="652"/>
      <c r="Y70" s="652"/>
      <c r="Z70" s="652"/>
      <c r="AA70" s="652"/>
      <c r="AB70" s="652"/>
      <c r="AC70" s="652"/>
      <c r="AD70" s="652"/>
      <c r="AE70" s="709" t="str">
        <f>IFERROR(INDEX(Reit!I$8:I$64,MATCH(AF70,Reit!F$8:F$64,0)),"")</f>
        <v/>
      </c>
      <c r="AF70" s="710" t="str">
        <f t="shared" si="10"/>
        <v/>
      </c>
      <c r="AG70" s="709" t="str">
        <f>IFERROR(INDEX(Reit!I$8:I$64,MATCH(AH70,Reit!F$8:F$64,0)),"")</f>
        <v/>
      </c>
      <c r="AH70" s="710" t="str">
        <f t="shared" si="11"/>
        <v/>
      </c>
      <c r="AI70" s="709" t="str">
        <f>IFERROR(INDEX(Reit!I$8:I$64,MATCH(AJ70,Reit!F$8:F$64,0)),"")</f>
        <v/>
      </c>
      <c r="AJ70" s="710" t="str">
        <f t="shared" si="12"/>
        <v/>
      </c>
      <c r="AK70" s="709" t="str">
        <f>IFERROR(INDEX(Reit!I$8:I$64,MATCH(AL70,Reit!F$8:F$64,0)),"")</f>
        <v/>
      </c>
      <c r="AL70" s="710" t="str">
        <f t="shared" si="13"/>
        <v/>
      </c>
      <c r="AM70" s="652"/>
    </row>
    <row r="71" spans="1:39" hidden="1" x14ac:dyDescent="0.2">
      <c r="A71" s="652"/>
      <c r="B71" s="652"/>
      <c r="C71" s="652"/>
      <c r="D71" s="652"/>
      <c r="E71" s="652"/>
      <c r="F71" s="652"/>
      <c r="G71" s="652"/>
      <c r="H71" s="652"/>
      <c r="I71" s="652"/>
      <c r="J71" s="652"/>
      <c r="K71" s="652"/>
      <c r="L71" s="652"/>
      <c r="M71" s="652"/>
      <c r="N71" s="652"/>
      <c r="O71" s="652"/>
      <c r="P71" s="652"/>
      <c r="Q71" s="652"/>
      <c r="R71" s="652"/>
      <c r="S71" s="652"/>
      <c r="T71" s="652"/>
      <c r="U71" s="652"/>
      <c r="V71" s="652"/>
      <c r="W71" s="652"/>
      <c r="X71" s="652"/>
      <c r="Y71" s="652"/>
      <c r="Z71" s="652"/>
      <c r="AA71" s="652"/>
      <c r="AB71" s="652"/>
      <c r="AC71" s="652"/>
      <c r="AD71" s="652"/>
      <c r="AE71" s="709" t="str">
        <f>IFERROR(INDEX(Reit!I$8:I$64,MATCH(AF71,Reit!F$8:F$64,0)),"")</f>
        <v/>
      </c>
      <c r="AF71" s="710" t="str">
        <f t="shared" si="10"/>
        <v/>
      </c>
      <c r="AG71" s="709" t="str">
        <f>IFERROR(INDEX(Reit!I$8:I$64,MATCH(AH71,Reit!F$8:F$64,0)),"")</f>
        <v/>
      </c>
      <c r="AH71" s="710" t="str">
        <f t="shared" si="11"/>
        <v/>
      </c>
      <c r="AI71" s="709" t="str">
        <f>IFERROR(INDEX(Reit!I$8:I$64,MATCH(AJ71,Reit!F$8:F$64,0)),"")</f>
        <v/>
      </c>
      <c r="AJ71" s="710" t="str">
        <f t="shared" si="12"/>
        <v/>
      </c>
      <c r="AK71" s="709" t="str">
        <f>IFERROR(INDEX(Reit!I$8:I$64,MATCH(AL71,Reit!F$8:F$64,0)),"")</f>
        <v/>
      </c>
      <c r="AL71" s="710" t="str">
        <f t="shared" si="13"/>
        <v/>
      </c>
      <c r="AM71" s="652"/>
    </row>
    <row r="72" spans="1:39" hidden="1" x14ac:dyDescent="0.2">
      <c r="A72" s="652"/>
      <c r="B72" s="652"/>
      <c r="C72" s="652"/>
      <c r="D72" s="652"/>
      <c r="E72" s="652"/>
      <c r="F72" s="652"/>
      <c r="G72" s="652"/>
      <c r="H72" s="652"/>
      <c r="I72" s="652"/>
      <c r="J72" s="652"/>
      <c r="K72" s="652"/>
      <c r="L72" s="652"/>
      <c r="M72" s="652"/>
      <c r="N72" s="652"/>
      <c r="O72" s="652"/>
      <c r="P72" s="652"/>
      <c r="Q72" s="652"/>
      <c r="R72" s="652"/>
      <c r="S72" s="652"/>
      <c r="T72" s="652"/>
      <c r="U72" s="652"/>
      <c r="V72" s="652"/>
      <c r="W72" s="652"/>
      <c r="X72" s="652"/>
      <c r="Y72" s="652"/>
      <c r="Z72" s="652"/>
      <c r="AA72" s="652"/>
      <c r="AB72" s="652"/>
      <c r="AC72" s="652"/>
      <c r="AD72" s="652"/>
      <c r="AE72" s="709" t="str">
        <f>IFERROR(INDEX(Reit!I$8:I$64,MATCH(AF72,Reit!F$8:F$64,0)),"")</f>
        <v/>
      </c>
      <c r="AF72" s="710" t="str">
        <f t="shared" si="10"/>
        <v/>
      </c>
      <c r="AG72" s="709" t="str">
        <f>IFERROR(INDEX(Reit!I$8:I$64,MATCH(AH72,Reit!F$8:F$64,0)),"")</f>
        <v/>
      </c>
      <c r="AH72" s="710" t="str">
        <f t="shared" si="11"/>
        <v/>
      </c>
      <c r="AI72" s="709" t="str">
        <f>IFERROR(INDEX(Reit!I$8:I$64,MATCH(AJ72,Reit!F$8:F$64,0)),"")</f>
        <v/>
      </c>
      <c r="AJ72" s="710" t="str">
        <f t="shared" si="12"/>
        <v/>
      </c>
      <c r="AK72" s="709" t="str">
        <f>IFERROR(INDEX(Reit!I$8:I$64,MATCH(AL72,Reit!F$8:F$64,0)),"")</f>
        <v/>
      </c>
      <c r="AL72" s="710" t="str">
        <f t="shared" si="13"/>
        <v/>
      </c>
      <c r="AM72" s="652"/>
    </row>
    <row r="73" spans="1:39" hidden="1" x14ac:dyDescent="0.2">
      <c r="A73" s="652"/>
      <c r="B73" s="652"/>
      <c r="C73" s="652"/>
      <c r="D73" s="652"/>
      <c r="E73" s="652"/>
      <c r="F73" s="652"/>
      <c r="G73" s="652"/>
      <c r="H73" s="652"/>
      <c r="I73" s="652"/>
      <c r="J73" s="652"/>
      <c r="K73" s="652"/>
      <c r="L73" s="652"/>
      <c r="M73" s="652"/>
      <c r="N73" s="652"/>
      <c r="O73" s="652"/>
      <c r="P73" s="652"/>
      <c r="Q73" s="652"/>
      <c r="R73" s="652"/>
      <c r="S73" s="652"/>
      <c r="T73" s="652"/>
      <c r="U73" s="652"/>
      <c r="V73" s="652"/>
      <c r="W73" s="652"/>
      <c r="X73" s="652"/>
      <c r="Y73" s="652"/>
      <c r="Z73" s="652"/>
      <c r="AA73" s="652"/>
      <c r="AB73" s="652"/>
      <c r="AC73" s="652"/>
      <c r="AD73" s="652"/>
      <c r="AE73" s="709" t="str">
        <f>IFERROR(INDEX(Reit!I$8:I$64,MATCH(AF73,Reit!F$8:F$64,0)),"")</f>
        <v/>
      </c>
      <c r="AF73" s="710" t="str">
        <f t="shared" ref="AF73:AF136" si="14">IFERROR(LEFT(B73,(FIND(",",B73,1)-1)),"")</f>
        <v/>
      </c>
      <c r="AG73" s="709" t="str">
        <f>IFERROR(INDEX(Reit!I$8:I$64,MATCH(AH73,Reit!F$8:F$64,0)),"")</f>
        <v/>
      </c>
      <c r="AH73" s="710" t="str">
        <f t="shared" ref="AH73:AH136" si="15">IFERROR(MID(B73,FIND(", ",B73)+2,256),"")</f>
        <v/>
      </c>
      <c r="AI73" s="709" t="str">
        <f>IFERROR(INDEX(Reit!I$8:I$64,MATCH(AJ73,Reit!F$8:F$64,0)),"")</f>
        <v/>
      </c>
      <c r="AJ73" s="710" t="str">
        <f t="shared" ref="AJ73:AJ136" si="16">IFERROR(MID(B73,FIND("^",SUBSTITUTE(B73,", ","^",1))+2,FIND("^",SUBSTITUTE(B73,", ","^",2))-FIND("^",SUBSTITUTE(B73,", ","^",1))-2),"")</f>
        <v/>
      </c>
      <c r="AK73" s="709" t="str">
        <f>IFERROR(INDEX(Reit!I$8:I$64,MATCH(AL73,Reit!F$8:F$64,0)),"")</f>
        <v/>
      </c>
      <c r="AL73" s="710" t="str">
        <f t="shared" ref="AL73:AL136" si="17">IFERROR(MID(B73,FIND(", ",B73,FIND(", ",B73,FIND(", ",B73))+1)+2,700),"")</f>
        <v/>
      </c>
      <c r="AM73" s="652"/>
    </row>
    <row r="74" spans="1:39" hidden="1" x14ac:dyDescent="0.2">
      <c r="A74" s="652"/>
      <c r="B74" s="652"/>
      <c r="C74" s="652"/>
      <c r="D74" s="652"/>
      <c r="E74" s="652"/>
      <c r="F74" s="652"/>
      <c r="G74" s="652"/>
      <c r="H74" s="652"/>
      <c r="I74" s="652"/>
      <c r="J74" s="652"/>
      <c r="K74" s="652"/>
      <c r="L74" s="652"/>
      <c r="M74" s="652"/>
      <c r="N74" s="652"/>
      <c r="O74" s="652"/>
      <c r="P74" s="652"/>
      <c r="Q74" s="652"/>
      <c r="R74" s="652"/>
      <c r="S74" s="652"/>
      <c r="T74" s="652"/>
      <c r="U74" s="652"/>
      <c r="V74" s="652"/>
      <c r="W74" s="652"/>
      <c r="X74" s="652"/>
      <c r="Y74" s="652"/>
      <c r="Z74" s="652"/>
      <c r="AA74" s="652"/>
      <c r="AB74" s="652"/>
      <c r="AC74" s="652"/>
      <c r="AD74" s="652"/>
      <c r="AE74" s="709" t="str">
        <f>IFERROR(INDEX(Reit!I$8:I$64,MATCH(AF74,Reit!F$8:F$64,0)),"")</f>
        <v/>
      </c>
      <c r="AF74" s="710" t="str">
        <f t="shared" si="14"/>
        <v/>
      </c>
      <c r="AG74" s="709" t="str">
        <f>IFERROR(INDEX(Reit!I$8:I$64,MATCH(AH74,Reit!F$8:F$64,0)),"")</f>
        <v/>
      </c>
      <c r="AH74" s="710" t="str">
        <f t="shared" si="15"/>
        <v/>
      </c>
      <c r="AI74" s="709" t="str">
        <f>IFERROR(INDEX(Reit!I$8:I$64,MATCH(AJ74,Reit!F$8:F$64,0)),"")</f>
        <v/>
      </c>
      <c r="AJ74" s="710" t="str">
        <f t="shared" si="16"/>
        <v/>
      </c>
      <c r="AK74" s="709" t="str">
        <f>IFERROR(INDEX(Reit!I$8:I$64,MATCH(AL74,Reit!F$8:F$64,0)),"")</f>
        <v/>
      </c>
      <c r="AL74" s="710" t="str">
        <f t="shared" si="17"/>
        <v/>
      </c>
      <c r="AM74" s="652"/>
    </row>
    <row r="75" spans="1:39" hidden="1" x14ac:dyDescent="0.2">
      <c r="A75" s="652"/>
      <c r="B75" s="652"/>
      <c r="C75" s="652"/>
      <c r="D75" s="652"/>
      <c r="E75" s="652"/>
      <c r="F75" s="652"/>
      <c r="G75" s="652"/>
      <c r="H75" s="652"/>
      <c r="I75" s="652"/>
      <c r="J75" s="652"/>
      <c r="K75" s="652"/>
      <c r="L75" s="652"/>
      <c r="M75" s="652"/>
      <c r="N75" s="652"/>
      <c r="O75" s="652"/>
      <c r="P75" s="652"/>
      <c r="Q75" s="652"/>
      <c r="R75" s="652"/>
      <c r="S75" s="652"/>
      <c r="T75" s="652"/>
      <c r="U75" s="652"/>
      <c r="V75" s="652"/>
      <c r="W75" s="652"/>
      <c r="X75" s="652"/>
      <c r="Y75" s="652"/>
      <c r="Z75" s="652"/>
      <c r="AA75" s="652"/>
      <c r="AB75" s="652"/>
      <c r="AC75" s="652"/>
      <c r="AD75" s="652"/>
      <c r="AE75" s="709" t="str">
        <f>IFERROR(INDEX(Reit!I$8:I$64,MATCH(AF75,Reit!F$8:F$64,0)),"")</f>
        <v/>
      </c>
      <c r="AF75" s="710" t="str">
        <f t="shared" si="14"/>
        <v/>
      </c>
      <c r="AG75" s="709" t="str">
        <f>IFERROR(INDEX(Reit!I$8:I$64,MATCH(AH75,Reit!F$8:F$64,0)),"")</f>
        <v/>
      </c>
      <c r="AH75" s="710" t="str">
        <f t="shared" si="15"/>
        <v/>
      </c>
      <c r="AI75" s="709" t="str">
        <f>IFERROR(INDEX(Reit!I$8:I$64,MATCH(AJ75,Reit!F$8:F$64,0)),"")</f>
        <v/>
      </c>
      <c r="AJ75" s="710" t="str">
        <f t="shared" si="16"/>
        <v/>
      </c>
      <c r="AK75" s="709" t="str">
        <f>IFERROR(INDEX(Reit!I$8:I$64,MATCH(AL75,Reit!F$8:F$64,0)),"")</f>
        <v/>
      </c>
      <c r="AL75" s="710" t="str">
        <f t="shared" si="17"/>
        <v/>
      </c>
      <c r="AM75" s="652"/>
    </row>
    <row r="76" spans="1:39" hidden="1" x14ac:dyDescent="0.2">
      <c r="A76" s="652"/>
      <c r="B76" s="652"/>
      <c r="C76" s="652"/>
      <c r="D76" s="652"/>
      <c r="E76" s="652"/>
      <c r="F76" s="652"/>
      <c r="G76" s="652"/>
      <c r="H76" s="652"/>
      <c r="I76" s="652"/>
      <c r="J76" s="652"/>
      <c r="K76" s="652"/>
      <c r="L76" s="652"/>
      <c r="M76" s="652"/>
      <c r="N76" s="652"/>
      <c r="O76" s="652"/>
      <c r="P76" s="652"/>
      <c r="Q76" s="652"/>
      <c r="R76" s="652"/>
      <c r="S76" s="652"/>
      <c r="T76" s="652"/>
      <c r="U76" s="652"/>
      <c r="V76" s="652"/>
      <c r="W76" s="652"/>
      <c r="X76" s="652"/>
      <c r="Y76" s="652"/>
      <c r="Z76" s="652"/>
      <c r="AA76" s="652"/>
      <c r="AB76" s="652"/>
      <c r="AC76" s="652"/>
      <c r="AD76" s="652"/>
      <c r="AE76" s="709" t="str">
        <f>IFERROR(INDEX(Reit!I$8:I$64,MATCH(AF76,Reit!F$8:F$64,0)),"")</f>
        <v/>
      </c>
      <c r="AF76" s="710" t="str">
        <f t="shared" si="14"/>
        <v/>
      </c>
      <c r="AG76" s="709" t="str">
        <f>IFERROR(INDEX(Reit!I$8:I$64,MATCH(AH76,Reit!F$8:F$64,0)),"")</f>
        <v/>
      </c>
      <c r="AH76" s="710" t="str">
        <f t="shared" si="15"/>
        <v/>
      </c>
      <c r="AI76" s="709" t="str">
        <f>IFERROR(INDEX(Reit!I$8:I$64,MATCH(AJ76,Reit!F$8:F$64,0)),"")</f>
        <v/>
      </c>
      <c r="AJ76" s="710" t="str">
        <f t="shared" si="16"/>
        <v/>
      </c>
      <c r="AK76" s="709" t="str">
        <f>IFERROR(INDEX(Reit!I$8:I$64,MATCH(AL76,Reit!F$8:F$64,0)),"")</f>
        <v/>
      </c>
      <c r="AL76" s="710" t="str">
        <f t="shared" si="17"/>
        <v/>
      </c>
      <c r="AM76" s="652"/>
    </row>
    <row r="77" spans="1:39" hidden="1" x14ac:dyDescent="0.2">
      <c r="A77" s="652"/>
      <c r="B77" s="652"/>
      <c r="C77" s="652"/>
      <c r="D77" s="652"/>
      <c r="E77" s="652"/>
      <c r="F77" s="652"/>
      <c r="G77" s="652"/>
      <c r="H77" s="652"/>
      <c r="I77" s="652"/>
      <c r="J77" s="652"/>
      <c r="K77" s="652"/>
      <c r="L77" s="652"/>
      <c r="M77" s="652"/>
      <c r="N77" s="652"/>
      <c r="O77" s="652"/>
      <c r="P77" s="652"/>
      <c r="Q77" s="652"/>
      <c r="R77" s="652"/>
      <c r="S77" s="652"/>
      <c r="T77" s="652"/>
      <c r="U77" s="652"/>
      <c r="V77" s="652"/>
      <c r="W77" s="652"/>
      <c r="X77" s="652"/>
      <c r="Y77" s="652"/>
      <c r="Z77" s="652"/>
      <c r="AA77" s="652"/>
      <c r="AB77" s="652"/>
      <c r="AC77" s="652"/>
      <c r="AD77" s="652"/>
      <c r="AE77" s="709" t="str">
        <f>IFERROR(INDEX(Reit!I$8:I$64,MATCH(AF77,Reit!F$8:F$64,0)),"")</f>
        <v/>
      </c>
      <c r="AF77" s="710" t="str">
        <f t="shared" si="14"/>
        <v/>
      </c>
      <c r="AG77" s="709" t="str">
        <f>IFERROR(INDEX(Reit!I$8:I$64,MATCH(AH77,Reit!F$8:F$64,0)),"")</f>
        <v/>
      </c>
      <c r="AH77" s="710" t="str">
        <f t="shared" si="15"/>
        <v/>
      </c>
      <c r="AI77" s="709" t="str">
        <f>IFERROR(INDEX(Reit!I$8:I$64,MATCH(AJ77,Reit!F$8:F$64,0)),"")</f>
        <v/>
      </c>
      <c r="AJ77" s="710" t="str">
        <f t="shared" si="16"/>
        <v/>
      </c>
      <c r="AK77" s="709" t="str">
        <f>IFERROR(INDEX(Reit!I$8:I$64,MATCH(AL77,Reit!F$8:F$64,0)),"")</f>
        <v/>
      </c>
      <c r="AL77" s="710" t="str">
        <f t="shared" si="17"/>
        <v/>
      </c>
      <c r="AM77" s="652"/>
    </row>
    <row r="78" spans="1:39" hidden="1" x14ac:dyDescent="0.2">
      <c r="A78" s="652"/>
      <c r="B78" s="652"/>
      <c r="C78" s="652"/>
      <c r="D78" s="652"/>
      <c r="E78" s="652"/>
      <c r="F78" s="652"/>
      <c r="G78" s="652"/>
      <c r="H78" s="652"/>
      <c r="I78" s="652"/>
      <c r="J78" s="652"/>
      <c r="K78" s="652"/>
      <c r="L78" s="652"/>
      <c r="M78" s="652"/>
      <c r="N78" s="652"/>
      <c r="O78" s="652"/>
      <c r="P78" s="652"/>
      <c r="Q78" s="652"/>
      <c r="R78" s="652"/>
      <c r="S78" s="652"/>
      <c r="T78" s="652"/>
      <c r="U78" s="652"/>
      <c r="V78" s="652"/>
      <c r="W78" s="652"/>
      <c r="X78" s="652"/>
      <c r="Y78" s="652"/>
      <c r="Z78" s="652"/>
      <c r="AA78" s="652"/>
      <c r="AB78" s="652"/>
      <c r="AC78" s="652"/>
      <c r="AD78" s="652"/>
      <c r="AE78" s="709" t="str">
        <f>IFERROR(INDEX(Reit!I$8:I$64,MATCH(AF78,Reit!F$8:F$64,0)),"")</f>
        <v/>
      </c>
      <c r="AF78" s="710" t="str">
        <f t="shared" si="14"/>
        <v/>
      </c>
      <c r="AG78" s="709" t="str">
        <f>IFERROR(INDEX(Reit!I$8:I$64,MATCH(AH78,Reit!F$8:F$64,0)),"")</f>
        <v/>
      </c>
      <c r="AH78" s="710" t="str">
        <f t="shared" si="15"/>
        <v/>
      </c>
      <c r="AI78" s="709" t="str">
        <f>IFERROR(INDEX(Reit!I$8:I$64,MATCH(AJ78,Reit!F$8:F$64,0)),"")</f>
        <v/>
      </c>
      <c r="AJ78" s="710" t="str">
        <f t="shared" si="16"/>
        <v/>
      </c>
      <c r="AK78" s="709" t="str">
        <f>IFERROR(INDEX(Reit!I$8:I$64,MATCH(AL78,Reit!F$8:F$64,0)),"")</f>
        <v/>
      </c>
      <c r="AL78" s="710" t="str">
        <f t="shared" si="17"/>
        <v/>
      </c>
      <c r="AM78" s="652"/>
    </row>
    <row r="79" spans="1:39" hidden="1" x14ac:dyDescent="0.2">
      <c r="A79" s="652"/>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709" t="str">
        <f>IFERROR(INDEX(Reit!I$8:I$64,MATCH(AF79,Reit!F$8:F$64,0)),"")</f>
        <v/>
      </c>
      <c r="AF79" s="710" t="str">
        <f t="shared" si="14"/>
        <v/>
      </c>
      <c r="AG79" s="709" t="str">
        <f>IFERROR(INDEX(Reit!I$8:I$64,MATCH(AH79,Reit!F$8:F$64,0)),"")</f>
        <v/>
      </c>
      <c r="AH79" s="710" t="str">
        <f t="shared" si="15"/>
        <v/>
      </c>
      <c r="AI79" s="709" t="str">
        <f>IFERROR(INDEX(Reit!I$8:I$64,MATCH(AJ79,Reit!F$8:F$64,0)),"")</f>
        <v/>
      </c>
      <c r="AJ79" s="710" t="str">
        <f t="shared" si="16"/>
        <v/>
      </c>
      <c r="AK79" s="709" t="str">
        <f>IFERROR(INDEX(Reit!I$8:I$64,MATCH(AL79,Reit!F$8:F$64,0)),"")</f>
        <v/>
      </c>
      <c r="AL79" s="710" t="str">
        <f t="shared" si="17"/>
        <v/>
      </c>
      <c r="AM79" s="652"/>
    </row>
    <row r="80" spans="1:39" hidden="1" x14ac:dyDescent="0.2">
      <c r="A80" s="652"/>
      <c r="B80" s="652"/>
      <c r="C80" s="652"/>
      <c r="D80" s="652"/>
      <c r="E80" s="652"/>
      <c r="F80" s="652"/>
      <c r="G80" s="652"/>
      <c r="H80" s="652"/>
      <c r="I80" s="652"/>
      <c r="J80" s="652"/>
      <c r="K80" s="652"/>
      <c r="L80" s="652"/>
      <c r="M80" s="652"/>
      <c r="N80" s="652"/>
      <c r="O80" s="652"/>
      <c r="P80" s="652"/>
      <c r="Q80" s="652"/>
      <c r="R80" s="652"/>
      <c r="S80" s="652"/>
      <c r="T80" s="652"/>
      <c r="U80" s="652"/>
      <c r="V80" s="652"/>
      <c r="W80" s="652"/>
      <c r="X80" s="652"/>
      <c r="Y80" s="652"/>
      <c r="Z80" s="652"/>
      <c r="AA80" s="652"/>
      <c r="AB80" s="652"/>
      <c r="AC80" s="652"/>
      <c r="AD80" s="652"/>
      <c r="AE80" s="709" t="str">
        <f>IFERROR(INDEX(Reit!I$8:I$64,MATCH(AF80,Reit!F$8:F$64,0)),"")</f>
        <v/>
      </c>
      <c r="AF80" s="710" t="str">
        <f t="shared" si="14"/>
        <v/>
      </c>
      <c r="AG80" s="709" t="str">
        <f>IFERROR(INDEX(Reit!I$8:I$64,MATCH(AH80,Reit!F$8:F$64,0)),"")</f>
        <v/>
      </c>
      <c r="AH80" s="710" t="str">
        <f t="shared" si="15"/>
        <v/>
      </c>
      <c r="AI80" s="709" t="str">
        <f>IFERROR(INDEX(Reit!I$8:I$64,MATCH(AJ80,Reit!F$8:F$64,0)),"")</f>
        <v/>
      </c>
      <c r="AJ80" s="710" t="str">
        <f t="shared" si="16"/>
        <v/>
      </c>
      <c r="AK80" s="709" t="str">
        <f>IFERROR(INDEX(Reit!I$8:I$64,MATCH(AL80,Reit!F$8:F$64,0)),"")</f>
        <v/>
      </c>
      <c r="AL80" s="710" t="str">
        <f t="shared" si="17"/>
        <v/>
      </c>
      <c r="AM80" s="652"/>
    </row>
    <row r="81" spans="1:39" hidden="1" x14ac:dyDescent="0.2">
      <c r="A81" s="652"/>
      <c r="B81" s="652"/>
      <c r="C81" s="652"/>
      <c r="D81" s="652"/>
      <c r="E81" s="652"/>
      <c r="F81" s="652"/>
      <c r="G81" s="652"/>
      <c r="H81" s="652"/>
      <c r="I81" s="652"/>
      <c r="J81" s="652"/>
      <c r="K81" s="652"/>
      <c r="L81" s="652"/>
      <c r="M81" s="652"/>
      <c r="N81" s="652"/>
      <c r="O81" s="652"/>
      <c r="P81" s="652"/>
      <c r="Q81" s="652"/>
      <c r="R81" s="652"/>
      <c r="S81" s="652"/>
      <c r="T81" s="652"/>
      <c r="U81" s="652"/>
      <c r="V81" s="652"/>
      <c r="W81" s="652"/>
      <c r="X81" s="652"/>
      <c r="Y81" s="652"/>
      <c r="Z81" s="652"/>
      <c r="AA81" s="652"/>
      <c r="AB81" s="652"/>
      <c r="AC81" s="652"/>
      <c r="AD81" s="652"/>
      <c r="AE81" s="709" t="str">
        <f>IFERROR(INDEX(Reit!I$8:I$64,MATCH(AF81,Reit!F$8:F$64,0)),"")</f>
        <v/>
      </c>
      <c r="AF81" s="710" t="str">
        <f t="shared" si="14"/>
        <v/>
      </c>
      <c r="AG81" s="709" t="str">
        <f>IFERROR(INDEX(Reit!I$8:I$64,MATCH(AH81,Reit!F$8:F$64,0)),"")</f>
        <v/>
      </c>
      <c r="AH81" s="710" t="str">
        <f t="shared" si="15"/>
        <v/>
      </c>
      <c r="AI81" s="709" t="str">
        <f>IFERROR(INDEX(Reit!I$8:I$64,MATCH(AJ81,Reit!F$8:F$64,0)),"")</f>
        <v/>
      </c>
      <c r="AJ81" s="710" t="str">
        <f t="shared" si="16"/>
        <v/>
      </c>
      <c r="AK81" s="709" t="str">
        <f>IFERROR(INDEX(Reit!I$8:I$64,MATCH(AL81,Reit!F$8:F$64,0)),"")</f>
        <v/>
      </c>
      <c r="AL81" s="710" t="str">
        <f t="shared" si="17"/>
        <v/>
      </c>
      <c r="AM81" s="652"/>
    </row>
    <row r="82" spans="1:39" hidden="1" x14ac:dyDescent="0.2">
      <c r="A82" s="652"/>
      <c r="B82" s="652"/>
      <c r="C82" s="652"/>
      <c r="D82" s="652"/>
      <c r="E82" s="652"/>
      <c r="F82" s="652"/>
      <c r="G82" s="652"/>
      <c r="H82" s="652"/>
      <c r="I82" s="652"/>
      <c r="J82" s="652"/>
      <c r="K82" s="652"/>
      <c r="L82" s="652"/>
      <c r="M82" s="652"/>
      <c r="N82" s="652"/>
      <c r="O82" s="652"/>
      <c r="P82" s="652"/>
      <c r="Q82" s="652"/>
      <c r="R82" s="652"/>
      <c r="S82" s="652"/>
      <c r="T82" s="652"/>
      <c r="U82" s="652"/>
      <c r="V82" s="652"/>
      <c r="W82" s="652"/>
      <c r="X82" s="652"/>
      <c r="Y82" s="652"/>
      <c r="Z82" s="652"/>
      <c r="AA82" s="652"/>
      <c r="AB82" s="652"/>
      <c r="AC82" s="652"/>
      <c r="AD82" s="652"/>
      <c r="AE82" s="709" t="str">
        <f>IFERROR(INDEX(Reit!I$8:I$64,MATCH(AF82,Reit!F$8:F$64,0)),"")</f>
        <v/>
      </c>
      <c r="AF82" s="710" t="str">
        <f t="shared" si="14"/>
        <v/>
      </c>
      <c r="AG82" s="709" t="str">
        <f>IFERROR(INDEX(Reit!I$8:I$64,MATCH(AH82,Reit!F$8:F$64,0)),"")</f>
        <v/>
      </c>
      <c r="AH82" s="710" t="str">
        <f t="shared" si="15"/>
        <v/>
      </c>
      <c r="AI82" s="709" t="str">
        <f>IFERROR(INDEX(Reit!I$8:I$64,MATCH(AJ82,Reit!F$8:F$64,0)),"")</f>
        <v/>
      </c>
      <c r="AJ82" s="710" t="str">
        <f t="shared" si="16"/>
        <v/>
      </c>
      <c r="AK82" s="709" t="str">
        <f>IFERROR(INDEX(Reit!I$8:I$64,MATCH(AL82,Reit!F$8:F$64,0)),"")</f>
        <v/>
      </c>
      <c r="AL82" s="710" t="str">
        <f t="shared" si="17"/>
        <v/>
      </c>
      <c r="AM82" s="652"/>
    </row>
    <row r="83" spans="1:39" hidden="1" x14ac:dyDescent="0.2">
      <c r="A83" s="652"/>
      <c r="B83" s="652"/>
      <c r="C83" s="652"/>
      <c r="D83" s="652"/>
      <c r="E83" s="652"/>
      <c r="F83" s="652"/>
      <c r="G83" s="652"/>
      <c r="H83" s="652"/>
      <c r="I83" s="652"/>
      <c r="J83" s="652"/>
      <c r="K83" s="652"/>
      <c r="L83" s="652"/>
      <c r="M83" s="652"/>
      <c r="N83" s="652"/>
      <c r="O83" s="652"/>
      <c r="P83" s="652"/>
      <c r="Q83" s="652"/>
      <c r="R83" s="652"/>
      <c r="S83" s="652"/>
      <c r="T83" s="652"/>
      <c r="U83" s="652"/>
      <c r="V83" s="652"/>
      <c r="W83" s="652"/>
      <c r="X83" s="652"/>
      <c r="Y83" s="652"/>
      <c r="Z83" s="652"/>
      <c r="AA83" s="652"/>
      <c r="AB83" s="652"/>
      <c r="AC83" s="652"/>
      <c r="AD83" s="652"/>
      <c r="AE83" s="709" t="str">
        <f>IFERROR(INDEX(Reit!I$8:I$64,MATCH(AF83,Reit!F$8:F$64,0)),"")</f>
        <v/>
      </c>
      <c r="AF83" s="710" t="str">
        <f t="shared" si="14"/>
        <v/>
      </c>
      <c r="AG83" s="709" t="str">
        <f>IFERROR(INDEX(Reit!I$8:I$64,MATCH(AH83,Reit!F$8:F$64,0)),"")</f>
        <v/>
      </c>
      <c r="AH83" s="710" t="str">
        <f t="shared" si="15"/>
        <v/>
      </c>
      <c r="AI83" s="709" t="str">
        <f>IFERROR(INDEX(Reit!I$8:I$64,MATCH(AJ83,Reit!F$8:F$64,0)),"")</f>
        <v/>
      </c>
      <c r="AJ83" s="710" t="str">
        <f t="shared" si="16"/>
        <v/>
      </c>
      <c r="AK83" s="709" t="str">
        <f>IFERROR(INDEX(Reit!I$8:I$64,MATCH(AL83,Reit!F$8:F$64,0)),"")</f>
        <v/>
      </c>
      <c r="AL83" s="710" t="str">
        <f t="shared" si="17"/>
        <v/>
      </c>
      <c r="AM83" s="652"/>
    </row>
    <row r="84" spans="1:39" hidden="1" x14ac:dyDescent="0.2">
      <c r="A84" s="652"/>
      <c r="B84" s="652"/>
      <c r="C84" s="652"/>
      <c r="D84" s="652"/>
      <c r="E84" s="652"/>
      <c r="F84" s="652"/>
      <c r="G84" s="652"/>
      <c r="H84" s="652"/>
      <c r="I84" s="652"/>
      <c r="J84" s="652"/>
      <c r="K84" s="652"/>
      <c r="L84" s="652"/>
      <c r="M84" s="652"/>
      <c r="N84" s="652"/>
      <c r="O84" s="652"/>
      <c r="P84" s="652"/>
      <c r="Q84" s="652"/>
      <c r="R84" s="652"/>
      <c r="S84" s="652"/>
      <c r="T84" s="652"/>
      <c r="U84" s="652"/>
      <c r="V84" s="652"/>
      <c r="W84" s="652"/>
      <c r="X84" s="652"/>
      <c r="Y84" s="652"/>
      <c r="Z84" s="652"/>
      <c r="AA84" s="652"/>
      <c r="AB84" s="652"/>
      <c r="AC84" s="652"/>
      <c r="AD84" s="652"/>
      <c r="AE84" s="709" t="str">
        <f>IFERROR(INDEX(Reit!I$8:I$64,MATCH(AF84,Reit!F$8:F$64,0)),"")</f>
        <v/>
      </c>
      <c r="AF84" s="710" t="str">
        <f t="shared" si="14"/>
        <v/>
      </c>
      <c r="AG84" s="709" t="str">
        <f>IFERROR(INDEX(Reit!I$8:I$64,MATCH(AH84,Reit!F$8:F$64,0)),"")</f>
        <v/>
      </c>
      <c r="AH84" s="710" t="str">
        <f t="shared" si="15"/>
        <v/>
      </c>
      <c r="AI84" s="709" t="str">
        <f>IFERROR(INDEX(Reit!I$8:I$64,MATCH(AJ84,Reit!F$8:F$64,0)),"")</f>
        <v/>
      </c>
      <c r="AJ84" s="710" t="str">
        <f t="shared" si="16"/>
        <v/>
      </c>
      <c r="AK84" s="709" t="str">
        <f>IFERROR(INDEX(Reit!I$8:I$64,MATCH(AL84,Reit!F$8:F$64,0)),"")</f>
        <v/>
      </c>
      <c r="AL84" s="710" t="str">
        <f t="shared" si="17"/>
        <v/>
      </c>
      <c r="AM84" s="652"/>
    </row>
    <row r="85" spans="1:39" hidden="1" x14ac:dyDescent="0.2">
      <c r="A85" s="652"/>
      <c r="B85" s="652"/>
      <c r="C85" s="652"/>
      <c r="D85" s="652"/>
      <c r="E85" s="652"/>
      <c r="F85" s="652"/>
      <c r="G85" s="652"/>
      <c r="H85" s="652"/>
      <c r="I85" s="652"/>
      <c r="J85" s="652"/>
      <c r="K85" s="652"/>
      <c r="L85" s="652"/>
      <c r="M85" s="652"/>
      <c r="N85" s="652"/>
      <c r="O85" s="652"/>
      <c r="P85" s="652"/>
      <c r="Q85" s="652"/>
      <c r="R85" s="652"/>
      <c r="S85" s="652"/>
      <c r="T85" s="652"/>
      <c r="U85" s="652"/>
      <c r="V85" s="652"/>
      <c r="W85" s="652"/>
      <c r="X85" s="652"/>
      <c r="Y85" s="652"/>
      <c r="Z85" s="652"/>
      <c r="AA85" s="652"/>
      <c r="AB85" s="652"/>
      <c r="AC85" s="652"/>
      <c r="AD85" s="652"/>
      <c r="AE85" s="709" t="str">
        <f>IFERROR(INDEX(Reit!I$8:I$64,MATCH(AF85,Reit!F$8:F$64,0)),"")</f>
        <v/>
      </c>
      <c r="AF85" s="710" t="str">
        <f t="shared" si="14"/>
        <v/>
      </c>
      <c r="AG85" s="709" t="str">
        <f>IFERROR(INDEX(Reit!I$8:I$64,MATCH(AH85,Reit!F$8:F$64,0)),"")</f>
        <v/>
      </c>
      <c r="AH85" s="710" t="str">
        <f t="shared" si="15"/>
        <v/>
      </c>
      <c r="AI85" s="709" t="str">
        <f>IFERROR(INDEX(Reit!I$8:I$64,MATCH(AJ85,Reit!F$8:F$64,0)),"")</f>
        <v/>
      </c>
      <c r="AJ85" s="710" t="str">
        <f t="shared" si="16"/>
        <v/>
      </c>
      <c r="AK85" s="709" t="str">
        <f>IFERROR(INDEX(Reit!I$8:I$64,MATCH(AL85,Reit!F$8:F$64,0)),"")</f>
        <v/>
      </c>
      <c r="AL85" s="710" t="str">
        <f t="shared" si="17"/>
        <v/>
      </c>
      <c r="AM85" s="652"/>
    </row>
    <row r="86" spans="1:39" hidden="1" x14ac:dyDescent="0.2">
      <c r="A86" s="652"/>
      <c r="B86" s="652"/>
      <c r="C86" s="652"/>
      <c r="D86" s="652"/>
      <c r="E86" s="652"/>
      <c r="F86" s="652"/>
      <c r="G86" s="652"/>
      <c r="H86" s="652"/>
      <c r="I86" s="652"/>
      <c r="J86" s="652"/>
      <c r="K86" s="652"/>
      <c r="L86" s="652"/>
      <c r="M86" s="652"/>
      <c r="N86" s="652"/>
      <c r="O86" s="652"/>
      <c r="P86" s="652"/>
      <c r="Q86" s="652"/>
      <c r="R86" s="652"/>
      <c r="S86" s="652"/>
      <c r="T86" s="652"/>
      <c r="U86" s="652"/>
      <c r="V86" s="652"/>
      <c r="W86" s="652"/>
      <c r="X86" s="652"/>
      <c r="Y86" s="652"/>
      <c r="Z86" s="652"/>
      <c r="AA86" s="652"/>
      <c r="AB86" s="652"/>
      <c r="AC86" s="652"/>
      <c r="AD86" s="652"/>
      <c r="AE86" s="709" t="str">
        <f>IFERROR(INDEX(Reit!I$8:I$64,MATCH(AF86,Reit!F$8:F$64,0)),"")</f>
        <v/>
      </c>
      <c r="AF86" s="710" t="str">
        <f t="shared" si="14"/>
        <v/>
      </c>
      <c r="AG86" s="709" t="str">
        <f>IFERROR(INDEX(Reit!I$8:I$64,MATCH(AH86,Reit!F$8:F$64,0)),"")</f>
        <v/>
      </c>
      <c r="AH86" s="710" t="str">
        <f t="shared" si="15"/>
        <v/>
      </c>
      <c r="AI86" s="709" t="str">
        <f>IFERROR(INDEX(Reit!I$8:I$64,MATCH(AJ86,Reit!F$8:F$64,0)),"")</f>
        <v/>
      </c>
      <c r="AJ86" s="710" t="str">
        <f t="shared" si="16"/>
        <v/>
      </c>
      <c r="AK86" s="709" t="str">
        <f>IFERROR(INDEX(Reit!I$8:I$64,MATCH(AL86,Reit!F$8:F$64,0)),"")</f>
        <v/>
      </c>
      <c r="AL86" s="710" t="str">
        <f t="shared" si="17"/>
        <v/>
      </c>
      <c r="AM86" s="652"/>
    </row>
    <row r="87" spans="1:39" hidden="1" x14ac:dyDescent="0.2">
      <c r="A87" s="652"/>
      <c r="B87" s="652"/>
      <c r="C87" s="652"/>
      <c r="D87" s="652"/>
      <c r="E87" s="652"/>
      <c r="F87" s="652"/>
      <c r="G87" s="652"/>
      <c r="H87" s="652"/>
      <c r="I87" s="652"/>
      <c r="J87" s="652"/>
      <c r="K87" s="652"/>
      <c r="L87" s="652"/>
      <c r="M87" s="652"/>
      <c r="N87" s="652"/>
      <c r="O87" s="652"/>
      <c r="P87" s="652"/>
      <c r="Q87" s="652"/>
      <c r="R87" s="652"/>
      <c r="S87" s="652"/>
      <c r="T87" s="652"/>
      <c r="U87" s="652"/>
      <c r="V87" s="652"/>
      <c r="W87" s="652"/>
      <c r="X87" s="652"/>
      <c r="Y87" s="652"/>
      <c r="Z87" s="652"/>
      <c r="AA87" s="652"/>
      <c r="AB87" s="652"/>
      <c r="AC87" s="652"/>
      <c r="AD87" s="652"/>
      <c r="AE87" s="709" t="str">
        <f>IFERROR(INDEX(Reit!I$8:I$64,MATCH(AF87,Reit!F$8:F$64,0)),"")</f>
        <v/>
      </c>
      <c r="AF87" s="710" t="str">
        <f t="shared" si="14"/>
        <v/>
      </c>
      <c r="AG87" s="709" t="str">
        <f>IFERROR(INDEX(Reit!I$8:I$64,MATCH(AH87,Reit!F$8:F$64,0)),"")</f>
        <v/>
      </c>
      <c r="AH87" s="710" t="str">
        <f t="shared" si="15"/>
        <v/>
      </c>
      <c r="AI87" s="709" t="str">
        <f>IFERROR(INDEX(Reit!I$8:I$64,MATCH(AJ87,Reit!F$8:F$64,0)),"")</f>
        <v/>
      </c>
      <c r="AJ87" s="710" t="str">
        <f t="shared" si="16"/>
        <v/>
      </c>
      <c r="AK87" s="709" t="str">
        <f>IFERROR(INDEX(Reit!I$8:I$64,MATCH(AL87,Reit!F$8:F$64,0)),"")</f>
        <v/>
      </c>
      <c r="AL87" s="710" t="str">
        <f t="shared" si="17"/>
        <v/>
      </c>
      <c r="AM87" s="652"/>
    </row>
    <row r="88" spans="1:39" hidden="1" x14ac:dyDescent="0.2">
      <c r="A88" s="652"/>
      <c r="B88" s="652"/>
      <c r="C88" s="652"/>
      <c r="D88" s="652"/>
      <c r="E88" s="652"/>
      <c r="F88" s="652"/>
      <c r="G88" s="652"/>
      <c r="H88" s="652"/>
      <c r="I88" s="652"/>
      <c r="J88" s="652"/>
      <c r="K88" s="652"/>
      <c r="L88" s="652"/>
      <c r="M88" s="652"/>
      <c r="N88" s="652"/>
      <c r="O88" s="652"/>
      <c r="P88" s="652"/>
      <c r="Q88" s="652"/>
      <c r="R88" s="652"/>
      <c r="S88" s="652"/>
      <c r="T88" s="652"/>
      <c r="U88" s="652"/>
      <c r="V88" s="652"/>
      <c r="W88" s="652"/>
      <c r="X88" s="652"/>
      <c r="Y88" s="652"/>
      <c r="Z88" s="652"/>
      <c r="AA88" s="652"/>
      <c r="AB88" s="652"/>
      <c r="AC88" s="652"/>
      <c r="AD88" s="652"/>
      <c r="AE88" s="709" t="str">
        <f>IFERROR(INDEX(Reit!I$8:I$64,MATCH(AF88,Reit!F$8:F$64,0)),"")</f>
        <v/>
      </c>
      <c r="AF88" s="710" t="str">
        <f t="shared" si="14"/>
        <v/>
      </c>
      <c r="AG88" s="709" t="str">
        <f>IFERROR(INDEX(Reit!I$8:I$64,MATCH(AH88,Reit!F$8:F$64,0)),"")</f>
        <v/>
      </c>
      <c r="AH88" s="710" t="str">
        <f t="shared" si="15"/>
        <v/>
      </c>
      <c r="AI88" s="709" t="str">
        <f>IFERROR(INDEX(Reit!I$8:I$64,MATCH(AJ88,Reit!F$8:F$64,0)),"")</f>
        <v/>
      </c>
      <c r="AJ88" s="710" t="str">
        <f t="shared" si="16"/>
        <v/>
      </c>
      <c r="AK88" s="709" t="str">
        <f>IFERROR(INDEX(Reit!I$8:I$64,MATCH(AL88,Reit!F$8:F$64,0)),"")</f>
        <v/>
      </c>
      <c r="AL88" s="710" t="str">
        <f t="shared" si="17"/>
        <v/>
      </c>
      <c r="AM88" s="652"/>
    </row>
    <row r="89" spans="1:39" hidden="1" x14ac:dyDescent="0.2">
      <c r="A89" s="652"/>
      <c r="B89" s="652"/>
      <c r="C89" s="652"/>
      <c r="D89" s="652"/>
      <c r="E89" s="652"/>
      <c r="F89" s="652"/>
      <c r="G89" s="652"/>
      <c r="H89" s="652"/>
      <c r="I89" s="652"/>
      <c r="J89" s="652"/>
      <c r="K89" s="652"/>
      <c r="L89" s="652"/>
      <c r="M89" s="652"/>
      <c r="N89" s="652"/>
      <c r="O89" s="652"/>
      <c r="P89" s="652"/>
      <c r="Q89" s="652"/>
      <c r="R89" s="652"/>
      <c r="S89" s="652"/>
      <c r="T89" s="652"/>
      <c r="U89" s="652"/>
      <c r="V89" s="652"/>
      <c r="W89" s="652"/>
      <c r="X89" s="652"/>
      <c r="Y89" s="652"/>
      <c r="Z89" s="652"/>
      <c r="AA89" s="652"/>
      <c r="AB89" s="652"/>
      <c r="AC89" s="652"/>
      <c r="AD89" s="652"/>
      <c r="AE89" s="709" t="str">
        <f>IFERROR(INDEX(Reit!I$8:I$64,MATCH(AF89,Reit!F$8:F$64,0)),"")</f>
        <v/>
      </c>
      <c r="AF89" s="710" t="str">
        <f t="shared" si="14"/>
        <v/>
      </c>
      <c r="AG89" s="709" t="str">
        <f>IFERROR(INDEX(Reit!I$8:I$64,MATCH(AH89,Reit!F$8:F$64,0)),"")</f>
        <v/>
      </c>
      <c r="AH89" s="710" t="str">
        <f t="shared" si="15"/>
        <v/>
      </c>
      <c r="AI89" s="709" t="str">
        <f>IFERROR(INDEX(Reit!I$8:I$64,MATCH(AJ89,Reit!F$8:F$64,0)),"")</f>
        <v/>
      </c>
      <c r="AJ89" s="710" t="str">
        <f t="shared" si="16"/>
        <v/>
      </c>
      <c r="AK89" s="709" t="str">
        <f>IFERROR(INDEX(Reit!I$8:I$64,MATCH(AL89,Reit!F$8:F$64,0)),"")</f>
        <v/>
      </c>
      <c r="AL89" s="710" t="str">
        <f t="shared" si="17"/>
        <v/>
      </c>
      <c r="AM89" s="652"/>
    </row>
    <row r="90" spans="1:39" hidden="1" x14ac:dyDescent="0.2">
      <c r="A90" s="652"/>
      <c r="B90" s="652"/>
      <c r="C90" s="652"/>
      <c r="D90" s="652"/>
      <c r="E90" s="652"/>
      <c r="F90" s="652"/>
      <c r="G90" s="652"/>
      <c r="H90" s="652"/>
      <c r="I90" s="652"/>
      <c r="J90" s="652"/>
      <c r="K90" s="652"/>
      <c r="L90" s="652"/>
      <c r="M90" s="652"/>
      <c r="N90" s="652"/>
      <c r="O90" s="652"/>
      <c r="P90" s="652"/>
      <c r="Q90" s="652"/>
      <c r="R90" s="652"/>
      <c r="S90" s="652"/>
      <c r="T90" s="652"/>
      <c r="U90" s="652"/>
      <c r="V90" s="652"/>
      <c r="W90" s="652"/>
      <c r="X90" s="652"/>
      <c r="Y90" s="652"/>
      <c r="Z90" s="652"/>
      <c r="AA90" s="652"/>
      <c r="AB90" s="652"/>
      <c r="AC90" s="652"/>
      <c r="AD90" s="652"/>
      <c r="AE90" s="709" t="str">
        <f>IFERROR(INDEX(Reit!I$8:I$64,MATCH(AF90,Reit!F$8:F$64,0)),"")</f>
        <v/>
      </c>
      <c r="AF90" s="710" t="str">
        <f t="shared" si="14"/>
        <v/>
      </c>
      <c r="AG90" s="709" t="str">
        <f>IFERROR(INDEX(Reit!I$8:I$64,MATCH(AH90,Reit!F$8:F$64,0)),"")</f>
        <v/>
      </c>
      <c r="AH90" s="710" t="str">
        <f t="shared" si="15"/>
        <v/>
      </c>
      <c r="AI90" s="709" t="str">
        <f>IFERROR(INDEX(Reit!I$8:I$64,MATCH(AJ90,Reit!F$8:F$64,0)),"")</f>
        <v/>
      </c>
      <c r="AJ90" s="710" t="str">
        <f t="shared" si="16"/>
        <v/>
      </c>
      <c r="AK90" s="709" t="str">
        <f>IFERROR(INDEX(Reit!I$8:I$64,MATCH(AL90,Reit!F$8:F$64,0)),"")</f>
        <v/>
      </c>
      <c r="AL90" s="710" t="str">
        <f t="shared" si="17"/>
        <v/>
      </c>
      <c r="AM90" s="652"/>
    </row>
    <row r="91" spans="1:39" hidden="1" x14ac:dyDescent="0.2">
      <c r="A91" s="652"/>
      <c r="B91" s="652"/>
      <c r="C91" s="652"/>
      <c r="D91" s="652"/>
      <c r="E91" s="652"/>
      <c r="F91" s="652"/>
      <c r="G91" s="652"/>
      <c r="H91" s="652"/>
      <c r="I91" s="652"/>
      <c r="J91" s="652"/>
      <c r="K91" s="652"/>
      <c r="L91" s="652"/>
      <c r="M91" s="652"/>
      <c r="N91" s="652"/>
      <c r="O91" s="652"/>
      <c r="P91" s="652"/>
      <c r="Q91" s="652"/>
      <c r="R91" s="652"/>
      <c r="S91" s="652"/>
      <c r="T91" s="652"/>
      <c r="U91" s="652"/>
      <c r="V91" s="652"/>
      <c r="W91" s="652"/>
      <c r="X91" s="652"/>
      <c r="Y91" s="652"/>
      <c r="Z91" s="652"/>
      <c r="AA91" s="652"/>
      <c r="AB91" s="652"/>
      <c r="AC91" s="652"/>
      <c r="AD91" s="652"/>
      <c r="AE91" s="709" t="str">
        <f>IFERROR(INDEX(Reit!I$8:I$64,MATCH(AF91,Reit!F$8:F$64,0)),"")</f>
        <v/>
      </c>
      <c r="AF91" s="710" t="str">
        <f t="shared" si="14"/>
        <v/>
      </c>
      <c r="AG91" s="709" t="str">
        <f>IFERROR(INDEX(Reit!I$8:I$64,MATCH(AH91,Reit!F$8:F$64,0)),"")</f>
        <v/>
      </c>
      <c r="AH91" s="710" t="str">
        <f t="shared" si="15"/>
        <v/>
      </c>
      <c r="AI91" s="709" t="str">
        <f>IFERROR(INDEX(Reit!I$8:I$64,MATCH(AJ91,Reit!F$8:F$64,0)),"")</f>
        <v/>
      </c>
      <c r="AJ91" s="710" t="str">
        <f t="shared" si="16"/>
        <v/>
      </c>
      <c r="AK91" s="709" t="str">
        <f>IFERROR(INDEX(Reit!I$8:I$64,MATCH(AL91,Reit!F$8:F$64,0)),"")</f>
        <v/>
      </c>
      <c r="AL91" s="710" t="str">
        <f t="shared" si="17"/>
        <v/>
      </c>
      <c r="AM91" s="652"/>
    </row>
    <row r="92" spans="1:39" hidden="1" x14ac:dyDescent="0.2">
      <c r="A92" s="652"/>
      <c r="B92" s="652"/>
      <c r="C92" s="652"/>
      <c r="D92" s="652"/>
      <c r="E92" s="652"/>
      <c r="F92" s="652"/>
      <c r="G92" s="652"/>
      <c r="H92" s="652"/>
      <c r="I92" s="652"/>
      <c r="J92" s="652"/>
      <c r="K92" s="652"/>
      <c r="L92" s="652"/>
      <c r="M92" s="652"/>
      <c r="N92" s="652"/>
      <c r="O92" s="652"/>
      <c r="P92" s="652"/>
      <c r="Q92" s="652"/>
      <c r="R92" s="652"/>
      <c r="S92" s="652"/>
      <c r="T92" s="652"/>
      <c r="U92" s="652"/>
      <c r="V92" s="652"/>
      <c r="W92" s="652"/>
      <c r="X92" s="652"/>
      <c r="Y92" s="652"/>
      <c r="Z92" s="652"/>
      <c r="AA92" s="652"/>
      <c r="AB92" s="652"/>
      <c r="AC92" s="652"/>
      <c r="AD92" s="652"/>
      <c r="AE92" s="709" t="str">
        <f>IFERROR(INDEX(Reit!I$8:I$64,MATCH(AF92,Reit!F$8:F$64,0)),"")</f>
        <v/>
      </c>
      <c r="AF92" s="710" t="str">
        <f t="shared" si="14"/>
        <v/>
      </c>
      <c r="AG92" s="709" t="str">
        <f>IFERROR(INDEX(Reit!I$8:I$64,MATCH(AH92,Reit!F$8:F$64,0)),"")</f>
        <v/>
      </c>
      <c r="AH92" s="710" t="str">
        <f t="shared" si="15"/>
        <v/>
      </c>
      <c r="AI92" s="709" t="str">
        <f>IFERROR(INDEX(Reit!I$8:I$64,MATCH(AJ92,Reit!F$8:F$64,0)),"")</f>
        <v/>
      </c>
      <c r="AJ92" s="710" t="str">
        <f t="shared" si="16"/>
        <v/>
      </c>
      <c r="AK92" s="709" t="str">
        <f>IFERROR(INDEX(Reit!I$8:I$64,MATCH(AL92,Reit!F$8:F$64,0)),"")</f>
        <v/>
      </c>
      <c r="AL92" s="710" t="str">
        <f t="shared" si="17"/>
        <v/>
      </c>
      <c r="AM92" s="652"/>
    </row>
    <row r="93" spans="1:39" hidden="1" x14ac:dyDescent="0.2">
      <c r="A93" s="652"/>
      <c r="B93" s="652"/>
      <c r="C93" s="652"/>
      <c r="D93" s="652"/>
      <c r="E93" s="652"/>
      <c r="F93" s="652"/>
      <c r="G93" s="652"/>
      <c r="H93" s="652"/>
      <c r="I93" s="652"/>
      <c r="J93" s="652"/>
      <c r="K93" s="652"/>
      <c r="L93" s="652"/>
      <c r="M93" s="652"/>
      <c r="N93" s="652"/>
      <c r="O93" s="652"/>
      <c r="P93" s="652"/>
      <c r="Q93" s="652"/>
      <c r="R93" s="652"/>
      <c r="S93" s="652"/>
      <c r="T93" s="652"/>
      <c r="U93" s="652"/>
      <c r="V93" s="652"/>
      <c r="W93" s="652"/>
      <c r="X93" s="652"/>
      <c r="Y93" s="652"/>
      <c r="Z93" s="652"/>
      <c r="AA93" s="652"/>
      <c r="AB93" s="652"/>
      <c r="AC93" s="652"/>
      <c r="AD93" s="652"/>
      <c r="AE93" s="709" t="str">
        <f>IFERROR(INDEX(Reit!I$8:I$64,MATCH(AF93,Reit!F$8:F$64,0)),"")</f>
        <v/>
      </c>
      <c r="AF93" s="710" t="str">
        <f t="shared" si="14"/>
        <v/>
      </c>
      <c r="AG93" s="709" t="str">
        <f>IFERROR(INDEX(Reit!I$8:I$64,MATCH(AH93,Reit!F$8:F$64,0)),"")</f>
        <v/>
      </c>
      <c r="AH93" s="710" t="str">
        <f t="shared" si="15"/>
        <v/>
      </c>
      <c r="AI93" s="709" t="str">
        <f>IFERROR(INDEX(Reit!I$8:I$64,MATCH(AJ93,Reit!F$8:F$64,0)),"")</f>
        <v/>
      </c>
      <c r="AJ93" s="710" t="str">
        <f t="shared" si="16"/>
        <v/>
      </c>
      <c r="AK93" s="709" t="str">
        <f>IFERROR(INDEX(Reit!I$8:I$64,MATCH(AL93,Reit!F$8:F$64,0)),"")</f>
        <v/>
      </c>
      <c r="AL93" s="710" t="str">
        <f t="shared" si="17"/>
        <v/>
      </c>
      <c r="AM93" s="652"/>
    </row>
    <row r="94" spans="1:39" hidden="1" x14ac:dyDescent="0.2">
      <c r="A94" s="652"/>
      <c r="B94" s="652"/>
      <c r="C94" s="652"/>
      <c r="D94" s="652"/>
      <c r="E94" s="652"/>
      <c r="F94" s="652"/>
      <c r="G94" s="652"/>
      <c r="H94" s="652"/>
      <c r="I94" s="652"/>
      <c r="J94" s="652"/>
      <c r="K94" s="652"/>
      <c r="L94" s="652"/>
      <c r="M94" s="652"/>
      <c r="N94" s="652"/>
      <c r="O94" s="652"/>
      <c r="P94" s="652"/>
      <c r="Q94" s="652"/>
      <c r="R94" s="652"/>
      <c r="S94" s="652"/>
      <c r="T94" s="652"/>
      <c r="U94" s="652"/>
      <c r="V94" s="652"/>
      <c r="W94" s="652"/>
      <c r="X94" s="652"/>
      <c r="Y94" s="652"/>
      <c r="Z94" s="652"/>
      <c r="AA94" s="652"/>
      <c r="AB94" s="652"/>
      <c r="AC94" s="652"/>
      <c r="AD94" s="652"/>
      <c r="AE94" s="709" t="str">
        <f>IFERROR(INDEX(Reit!I$8:I$64,MATCH(AF94,Reit!F$8:F$64,0)),"")</f>
        <v/>
      </c>
      <c r="AF94" s="710" t="str">
        <f t="shared" si="14"/>
        <v/>
      </c>
      <c r="AG94" s="709" t="str">
        <f>IFERROR(INDEX(Reit!I$8:I$64,MATCH(AH94,Reit!F$8:F$64,0)),"")</f>
        <v/>
      </c>
      <c r="AH94" s="710" t="str">
        <f t="shared" si="15"/>
        <v/>
      </c>
      <c r="AI94" s="709" t="str">
        <f>IFERROR(INDEX(Reit!I$8:I$64,MATCH(AJ94,Reit!F$8:F$64,0)),"")</f>
        <v/>
      </c>
      <c r="AJ94" s="710" t="str">
        <f t="shared" si="16"/>
        <v/>
      </c>
      <c r="AK94" s="709" t="str">
        <f>IFERROR(INDEX(Reit!I$8:I$64,MATCH(AL94,Reit!F$8:F$64,0)),"")</f>
        <v/>
      </c>
      <c r="AL94" s="710" t="str">
        <f t="shared" si="17"/>
        <v/>
      </c>
      <c r="AM94" s="652"/>
    </row>
    <row r="95" spans="1:39" hidden="1" x14ac:dyDescent="0.2">
      <c r="A95" s="652"/>
      <c r="B95" s="652"/>
      <c r="C95" s="652"/>
      <c r="D95" s="652"/>
      <c r="E95" s="652"/>
      <c r="F95" s="652"/>
      <c r="G95" s="652"/>
      <c r="H95" s="652"/>
      <c r="I95" s="652"/>
      <c r="J95" s="652"/>
      <c r="K95" s="652"/>
      <c r="L95" s="652"/>
      <c r="M95" s="652"/>
      <c r="N95" s="652"/>
      <c r="O95" s="652"/>
      <c r="P95" s="652"/>
      <c r="Q95" s="652"/>
      <c r="R95" s="652"/>
      <c r="S95" s="652"/>
      <c r="T95" s="652"/>
      <c r="U95" s="652"/>
      <c r="V95" s="652"/>
      <c r="W95" s="652"/>
      <c r="X95" s="652"/>
      <c r="Y95" s="652"/>
      <c r="Z95" s="652"/>
      <c r="AA95" s="652"/>
      <c r="AB95" s="652"/>
      <c r="AC95" s="652"/>
      <c r="AD95" s="652"/>
      <c r="AE95" s="709" t="str">
        <f>IFERROR(INDEX(Reit!I$8:I$64,MATCH(AF95,Reit!F$8:F$64,0)),"")</f>
        <v/>
      </c>
      <c r="AF95" s="710" t="str">
        <f t="shared" si="14"/>
        <v/>
      </c>
      <c r="AG95" s="709" t="str">
        <f>IFERROR(INDEX(Reit!I$8:I$64,MATCH(AH95,Reit!F$8:F$64,0)),"")</f>
        <v/>
      </c>
      <c r="AH95" s="710" t="str">
        <f t="shared" si="15"/>
        <v/>
      </c>
      <c r="AI95" s="709" t="str">
        <f>IFERROR(INDEX(Reit!I$8:I$64,MATCH(AJ95,Reit!F$8:F$64,0)),"")</f>
        <v/>
      </c>
      <c r="AJ95" s="710" t="str">
        <f t="shared" si="16"/>
        <v/>
      </c>
      <c r="AK95" s="709" t="str">
        <f>IFERROR(INDEX(Reit!I$8:I$64,MATCH(AL95,Reit!F$8:F$64,0)),"")</f>
        <v/>
      </c>
      <c r="AL95" s="710" t="str">
        <f t="shared" si="17"/>
        <v/>
      </c>
      <c r="AM95" s="652"/>
    </row>
    <row r="96" spans="1:39" hidden="1" x14ac:dyDescent="0.2">
      <c r="A96" s="652"/>
      <c r="B96" s="652"/>
      <c r="C96" s="652"/>
      <c r="D96" s="652"/>
      <c r="E96" s="652"/>
      <c r="F96" s="652"/>
      <c r="G96" s="652"/>
      <c r="H96" s="652"/>
      <c r="I96" s="652"/>
      <c r="J96" s="652"/>
      <c r="K96" s="652"/>
      <c r="L96" s="652"/>
      <c r="M96" s="652"/>
      <c r="N96" s="652"/>
      <c r="O96" s="652"/>
      <c r="P96" s="652"/>
      <c r="Q96" s="652"/>
      <c r="R96" s="652"/>
      <c r="S96" s="652"/>
      <c r="T96" s="652"/>
      <c r="U96" s="652"/>
      <c r="V96" s="652"/>
      <c r="W96" s="652"/>
      <c r="X96" s="652"/>
      <c r="Y96" s="652"/>
      <c r="Z96" s="652"/>
      <c r="AA96" s="652"/>
      <c r="AB96" s="652"/>
      <c r="AC96" s="652"/>
      <c r="AD96" s="652"/>
      <c r="AE96" s="709" t="str">
        <f>IFERROR(INDEX(Reit!I$8:I$64,MATCH(AF96,Reit!F$8:F$64,0)),"")</f>
        <v/>
      </c>
      <c r="AF96" s="710" t="str">
        <f t="shared" si="14"/>
        <v/>
      </c>
      <c r="AG96" s="709" t="str">
        <f>IFERROR(INDEX(Reit!I$8:I$64,MATCH(AH96,Reit!F$8:F$64,0)),"")</f>
        <v/>
      </c>
      <c r="AH96" s="710" t="str">
        <f t="shared" si="15"/>
        <v/>
      </c>
      <c r="AI96" s="709" t="str">
        <f>IFERROR(INDEX(Reit!I$8:I$64,MATCH(AJ96,Reit!F$8:F$64,0)),"")</f>
        <v/>
      </c>
      <c r="AJ96" s="710" t="str">
        <f t="shared" si="16"/>
        <v/>
      </c>
      <c r="AK96" s="709" t="str">
        <f>IFERROR(INDEX(Reit!I$8:I$64,MATCH(AL96,Reit!F$8:F$64,0)),"")</f>
        <v/>
      </c>
      <c r="AL96" s="710" t="str">
        <f t="shared" si="17"/>
        <v/>
      </c>
      <c r="AM96" s="652"/>
    </row>
    <row r="97" spans="1:39" hidden="1" x14ac:dyDescent="0.2">
      <c r="A97" s="652"/>
      <c r="B97" s="652"/>
      <c r="C97" s="652"/>
      <c r="D97" s="652"/>
      <c r="E97" s="652"/>
      <c r="F97" s="652"/>
      <c r="G97" s="652"/>
      <c r="H97" s="652"/>
      <c r="I97" s="652"/>
      <c r="J97" s="652"/>
      <c r="K97" s="652"/>
      <c r="L97" s="652"/>
      <c r="M97" s="652"/>
      <c r="N97" s="652"/>
      <c r="O97" s="652"/>
      <c r="P97" s="652"/>
      <c r="Q97" s="652"/>
      <c r="R97" s="652"/>
      <c r="S97" s="652"/>
      <c r="T97" s="652"/>
      <c r="U97" s="652"/>
      <c r="V97" s="652"/>
      <c r="W97" s="652"/>
      <c r="X97" s="652"/>
      <c r="Y97" s="652"/>
      <c r="Z97" s="652"/>
      <c r="AA97" s="652"/>
      <c r="AB97" s="652"/>
      <c r="AC97" s="652"/>
      <c r="AD97" s="652"/>
      <c r="AE97" s="709" t="str">
        <f>IFERROR(INDEX(Reit!I$8:I$64,MATCH(AF97,Reit!F$8:F$64,0)),"")</f>
        <v/>
      </c>
      <c r="AF97" s="710" t="str">
        <f t="shared" si="14"/>
        <v/>
      </c>
      <c r="AG97" s="709" t="str">
        <f>IFERROR(INDEX(Reit!I$8:I$64,MATCH(AH97,Reit!F$8:F$64,0)),"")</f>
        <v/>
      </c>
      <c r="AH97" s="710" t="str">
        <f t="shared" si="15"/>
        <v/>
      </c>
      <c r="AI97" s="709" t="str">
        <f>IFERROR(INDEX(Reit!I$8:I$64,MATCH(AJ97,Reit!F$8:F$64,0)),"")</f>
        <v/>
      </c>
      <c r="AJ97" s="710" t="str">
        <f t="shared" si="16"/>
        <v/>
      </c>
      <c r="AK97" s="709" t="str">
        <f>IFERROR(INDEX(Reit!I$8:I$64,MATCH(AL97,Reit!F$8:F$64,0)),"")</f>
        <v/>
      </c>
      <c r="AL97" s="710" t="str">
        <f t="shared" si="17"/>
        <v/>
      </c>
      <c r="AM97" s="652"/>
    </row>
    <row r="98" spans="1:39" hidden="1" x14ac:dyDescent="0.2">
      <c r="A98" s="652"/>
      <c r="B98" s="652"/>
      <c r="C98" s="652"/>
      <c r="D98" s="652"/>
      <c r="E98" s="652"/>
      <c r="F98" s="652"/>
      <c r="G98" s="652"/>
      <c r="H98" s="652"/>
      <c r="I98" s="652"/>
      <c r="J98" s="652"/>
      <c r="K98" s="652"/>
      <c r="L98" s="652"/>
      <c r="M98" s="652"/>
      <c r="N98" s="652"/>
      <c r="O98" s="652"/>
      <c r="P98" s="652"/>
      <c r="Q98" s="652"/>
      <c r="R98" s="652"/>
      <c r="S98" s="652"/>
      <c r="T98" s="652"/>
      <c r="U98" s="652"/>
      <c r="V98" s="652"/>
      <c r="W98" s="652"/>
      <c r="X98" s="652"/>
      <c r="Y98" s="652"/>
      <c r="Z98" s="652"/>
      <c r="AA98" s="652"/>
      <c r="AB98" s="652"/>
      <c r="AC98" s="652"/>
      <c r="AD98" s="652"/>
      <c r="AE98" s="709" t="str">
        <f>IFERROR(INDEX(Reit!I$8:I$64,MATCH(AF98,Reit!F$8:F$64,0)),"")</f>
        <v/>
      </c>
      <c r="AF98" s="710" t="str">
        <f t="shared" si="14"/>
        <v/>
      </c>
      <c r="AG98" s="709" t="str">
        <f>IFERROR(INDEX(Reit!I$8:I$64,MATCH(AH98,Reit!F$8:F$64,0)),"")</f>
        <v/>
      </c>
      <c r="AH98" s="710" t="str">
        <f t="shared" si="15"/>
        <v/>
      </c>
      <c r="AI98" s="709" t="str">
        <f>IFERROR(INDEX(Reit!I$8:I$64,MATCH(AJ98,Reit!F$8:F$64,0)),"")</f>
        <v/>
      </c>
      <c r="AJ98" s="710" t="str">
        <f t="shared" si="16"/>
        <v/>
      </c>
      <c r="AK98" s="709" t="str">
        <f>IFERROR(INDEX(Reit!I$8:I$64,MATCH(AL98,Reit!F$8:F$64,0)),"")</f>
        <v/>
      </c>
      <c r="AL98" s="710" t="str">
        <f t="shared" si="17"/>
        <v/>
      </c>
      <c r="AM98" s="652"/>
    </row>
    <row r="99" spans="1:39" hidden="1" x14ac:dyDescent="0.2">
      <c r="A99" s="652"/>
      <c r="B99" s="652"/>
      <c r="C99" s="652"/>
      <c r="D99" s="652"/>
      <c r="E99" s="652"/>
      <c r="F99" s="652"/>
      <c r="G99" s="652"/>
      <c r="H99" s="652"/>
      <c r="I99" s="652"/>
      <c r="J99" s="652"/>
      <c r="K99" s="652"/>
      <c r="L99" s="652"/>
      <c r="M99" s="652"/>
      <c r="N99" s="652"/>
      <c r="O99" s="652"/>
      <c r="P99" s="652"/>
      <c r="Q99" s="652"/>
      <c r="R99" s="652"/>
      <c r="S99" s="652"/>
      <c r="T99" s="652"/>
      <c r="U99" s="652"/>
      <c r="V99" s="652"/>
      <c r="W99" s="652"/>
      <c r="X99" s="652"/>
      <c r="Y99" s="652"/>
      <c r="Z99" s="652"/>
      <c r="AA99" s="652"/>
      <c r="AB99" s="652"/>
      <c r="AC99" s="652"/>
      <c r="AD99" s="652"/>
      <c r="AE99" s="709" t="str">
        <f>IFERROR(INDEX(Reit!I$8:I$64,MATCH(AF99,Reit!F$8:F$64,0)),"")</f>
        <v/>
      </c>
      <c r="AF99" s="710" t="str">
        <f t="shared" si="14"/>
        <v/>
      </c>
      <c r="AG99" s="709" t="str">
        <f>IFERROR(INDEX(Reit!I$8:I$64,MATCH(AH99,Reit!F$8:F$64,0)),"")</f>
        <v/>
      </c>
      <c r="AH99" s="710" t="str">
        <f t="shared" si="15"/>
        <v/>
      </c>
      <c r="AI99" s="709" t="str">
        <f>IFERROR(INDEX(Reit!I$8:I$64,MATCH(AJ99,Reit!F$8:F$64,0)),"")</f>
        <v/>
      </c>
      <c r="AJ99" s="710" t="str">
        <f t="shared" si="16"/>
        <v/>
      </c>
      <c r="AK99" s="709" t="str">
        <f>IFERROR(INDEX(Reit!I$8:I$64,MATCH(AL99,Reit!F$8:F$64,0)),"")</f>
        <v/>
      </c>
      <c r="AL99" s="710" t="str">
        <f t="shared" si="17"/>
        <v/>
      </c>
      <c r="AM99" s="652"/>
    </row>
    <row r="100" spans="1:39" hidden="1" x14ac:dyDescent="0.2">
      <c r="A100" s="652"/>
      <c r="B100" s="652"/>
      <c r="C100" s="652"/>
      <c r="D100" s="652"/>
      <c r="E100" s="652"/>
      <c r="F100" s="652"/>
      <c r="G100" s="652"/>
      <c r="H100" s="652"/>
      <c r="I100" s="652"/>
      <c r="J100" s="652"/>
      <c r="K100" s="652"/>
      <c r="L100" s="652"/>
      <c r="M100" s="652"/>
      <c r="N100" s="652"/>
      <c r="O100" s="652"/>
      <c r="P100" s="652"/>
      <c r="Q100" s="652"/>
      <c r="R100" s="652"/>
      <c r="S100" s="652"/>
      <c r="T100" s="652"/>
      <c r="U100" s="652"/>
      <c r="V100" s="652"/>
      <c r="W100" s="652"/>
      <c r="X100" s="652"/>
      <c r="Y100" s="652"/>
      <c r="Z100" s="652"/>
      <c r="AA100" s="652"/>
      <c r="AB100" s="652"/>
      <c r="AC100" s="652"/>
      <c r="AD100" s="652"/>
      <c r="AE100" s="709" t="str">
        <f>IFERROR(INDEX(Reit!I$8:I$64,MATCH(AF100,Reit!F$8:F$64,0)),"")</f>
        <v/>
      </c>
      <c r="AF100" s="710" t="str">
        <f t="shared" si="14"/>
        <v/>
      </c>
      <c r="AG100" s="709" t="str">
        <f>IFERROR(INDEX(Reit!I$8:I$64,MATCH(AH100,Reit!F$8:F$64,0)),"")</f>
        <v/>
      </c>
      <c r="AH100" s="710" t="str">
        <f t="shared" si="15"/>
        <v/>
      </c>
      <c r="AI100" s="709" t="str">
        <f>IFERROR(INDEX(Reit!I$8:I$64,MATCH(AJ100,Reit!F$8:F$64,0)),"")</f>
        <v/>
      </c>
      <c r="AJ100" s="710" t="str">
        <f t="shared" si="16"/>
        <v/>
      </c>
      <c r="AK100" s="709" t="str">
        <f>IFERROR(INDEX(Reit!I$8:I$64,MATCH(AL100,Reit!F$8:F$64,0)),"")</f>
        <v/>
      </c>
      <c r="AL100" s="710" t="str">
        <f t="shared" si="17"/>
        <v/>
      </c>
      <c r="AM100" s="652"/>
    </row>
    <row r="101" spans="1:39" hidden="1" x14ac:dyDescent="0.2">
      <c r="A101" s="652"/>
      <c r="B101" s="652"/>
      <c r="C101" s="652"/>
      <c r="D101" s="652"/>
      <c r="E101" s="652"/>
      <c r="F101" s="652"/>
      <c r="G101" s="652"/>
      <c r="H101" s="652"/>
      <c r="I101" s="652"/>
      <c r="J101" s="652"/>
      <c r="K101" s="652"/>
      <c r="L101" s="652"/>
      <c r="M101" s="652"/>
      <c r="N101" s="652"/>
      <c r="O101" s="652"/>
      <c r="P101" s="652"/>
      <c r="Q101" s="652"/>
      <c r="R101" s="652"/>
      <c r="S101" s="652"/>
      <c r="T101" s="652"/>
      <c r="U101" s="652"/>
      <c r="V101" s="652"/>
      <c r="W101" s="652"/>
      <c r="X101" s="652"/>
      <c r="Y101" s="652"/>
      <c r="Z101" s="652"/>
      <c r="AA101" s="652"/>
      <c r="AB101" s="652"/>
      <c r="AC101" s="652"/>
      <c r="AD101" s="652"/>
      <c r="AE101" s="709" t="str">
        <f>IFERROR(INDEX(Reit!I$8:I$64,MATCH(AF101,Reit!F$8:F$64,0)),"")</f>
        <v/>
      </c>
      <c r="AF101" s="710" t="str">
        <f t="shared" si="14"/>
        <v/>
      </c>
      <c r="AG101" s="709" t="str">
        <f>IFERROR(INDEX(Reit!I$8:I$64,MATCH(AH101,Reit!F$8:F$64,0)),"")</f>
        <v/>
      </c>
      <c r="AH101" s="710" t="str">
        <f t="shared" si="15"/>
        <v/>
      </c>
      <c r="AI101" s="709" t="str">
        <f>IFERROR(INDEX(Reit!I$8:I$64,MATCH(AJ101,Reit!F$8:F$64,0)),"")</f>
        <v/>
      </c>
      <c r="AJ101" s="710" t="str">
        <f t="shared" si="16"/>
        <v/>
      </c>
      <c r="AK101" s="709" t="str">
        <f>IFERROR(INDEX(Reit!I$8:I$64,MATCH(AL101,Reit!F$8:F$64,0)),"")</f>
        <v/>
      </c>
      <c r="AL101" s="710" t="str">
        <f t="shared" si="17"/>
        <v/>
      </c>
      <c r="AM101" s="652"/>
    </row>
    <row r="102" spans="1:39" hidden="1" x14ac:dyDescent="0.2">
      <c r="A102" s="652"/>
      <c r="B102" s="652"/>
      <c r="C102" s="652"/>
      <c r="D102" s="652"/>
      <c r="E102" s="652"/>
      <c r="F102" s="652"/>
      <c r="G102" s="652"/>
      <c r="H102" s="652"/>
      <c r="I102" s="652"/>
      <c r="J102" s="652"/>
      <c r="K102" s="652"/>
      <c r="L102" s="652"/>
      <c r="M102" s="652"/>
      <c r="N102" s="652"/>
      <c r="O102" s="652"/>
      <c r="P102" s="652"/>
      <c r="Q102" s="652"/>
      <c r="R102" s="652"/>
      <c r="S102" s="652"/>
      <c r="T102" s="652"/>
      <c r="U102" s="652"/>
      <c r="V102" s="652"/>
      <c r="W102" s="652"/>
      <c r="X102" s="652"/>
      <c r="Y102" s="652"/>
      <c r="Z102" s="652"/>
      <c r="AA102" s="652"/>
      <c r="AB102" s="652"/>
      <c r="AC102" s="652"/>
      <c r="AD102" s="652"/>
      <c r="AE102" s="709" t="str">
        <f>IFERROR(INDEX(Reit!I$8:I$64,MATCH(AF102,Reit!F$8:F$64,0)),"")</f>
        <v/>
      </c>
      <c r="AF102" s="710" t="str">
        <f t="shared" si="14"/>
        <v/>
      </c>
      <c r="AG102" s="709" t="str">
        <f>IFERROR(INDEX(Reit!I$8:I$64,MATCH(AH102,Reit!F$8:F$64,0)),"")</f>
        <v/>
      </c>
      <c r="AH102" s="710" t="str">
        <f t="shared" si="15"/>
        <v/>
      </c>
      <c r="AI102" s="709" t="str">
        <f>IFERROR(INDEX(Reit!I$8:I$64,MATCH(AJ102,Reit!F$8:F$64,0)),"")</f>
        <v/>
      </c>
      <c r="AJ102" s="710" t="str">
        <f t="shared" si="16"/>
        <v/>
      </c>
      <c r="AK102" s="709" t="str">
        <f>IFERROR(INDEX(Reit!I$8:I$64,MATCH(AL102,Reit!F$8:F$64,0)),"")</f>
        <v/>
      </c>
      <c r="AL102" s="710" t="str">
        <f t="shared" si="17"/>
        <v/>
      </c>
      <c r="AM102" s="652"/>
    </row>
    <row r="103" spans="1:39" hidden="1" x14ac:dyDescent="0.2">
      <c r="A103" s="652"/>
      <c r="B103" s="652"/>
      <c r="C103" s="652"/>
      <c r="D103" s="652"/>
      <c r="E103" s="652"/>
      <c r="F103" s="652"/>
      <c r="G103" s="652"/>
      <c r="H103" s="652"/>
      <c r="I103" s="652"/>
      <c r="J103" s="652"/>
      <c r="K103" s="652"/>
      <c r="L103" s="652"/>
      <c r="M103" s="652"/>
      <c r="N103" s="652"/>
      <c r="O103" s="652"/>
      <c r="P103" s="652"/>
      <c r="Q103" s="652"/>
      <c r="R103" s="652"/>
      <c r="S103" s="652"/>
      <c r="T103" s="652"/>
      <c r="U103" s="652"/>
      <c r="V103" s="652"/>
      <c r="W103" s="652"/>
      <c r="X103" s="652"/>
      <c r="Y103" s="652"/>
      <c r="Z103" s="652"/>
      <c r="AA103" s="652"/>
      <c r="AB103" s="652"/>
      <c r="AC103" s="652"/>
      <c r="AD103" s="652"/>
      <c r="AE103" s="709" t="str">
        <f>IFERROR(INDEX(Reit!I$8:I$64,MATCH(AF103,Reit!F$8:F$64,0)),"")</f>
        <v/>
      </c>
      <c r="AF103" s="710" t="str">
        <f t="shared" si="14"/>
        <v/>
      </c>
      <c r="AG103" s="709" t="str">
        <f>IFERROR(INDEX(Reit!I$8:I$64,MATCH(AH103,Reit!F$8:F$64,0)),"")</f>
        <v/>
      </c>
      <c r="AH103" s="710" t="str">
        <f t="shared" si="15"/>
        <v/>
      </c>
      <c r="AI103" s="709" t="str">
        <f>IFERROR(INDEX(Reit!I$8:I$64,MATCH(AJ103,Reit!F$8:F$64,0)),"")</f>
        <v/>
      </c>
      <c r="AJ103" s="710" t="str">
        <f t="shared" si="16"/>
        <v/>
      </c>
      <c r="AK103" s="709" t="str">
        <f>IFERROR(INDEX(Reit!I$8:I$64,MATCH(AL103,Reit!F$8:F$64,0)),"")</f>
        <v/>
      </c>
      <c r="AL103" s="710" t="str">
        <f t="shared" si="17"/>
        <v/>
      </c>
      <c r="AM103" s="652"/>
    </row>
    <row r="104" spans="1:39" hidden="1" x14ac:dyDescent="0.2">
      <c r="A104" s="652"/>
      <c r="B104" s="652"/>
      <c r="C104" s="652"/>
      <c r="D104" s="652"/>
      <c r="E104" s="652"/>
      <c r="F104" s="652"/>
      <c r="G104" s="652"/>
      <c r="H104" s="652"/>
      <c r="I104" s="652"/>
      <c r="J104" s="652"/>
      <c r="K104" s="652"/>
      <c r="L104" s="652"/>
      <c r="M104" s="652"/>
      <c r="N104" s="652"/>
      <c r="O104" s="652"/>
      <c r="P104" s="652"/>
      <c r="Q104" s="652"/>
      <c r="R104" s="652"/>
      <c r="S104" s="652"/>
      <c r="T104" s="652"/>
      <c r="U104" s="652"/>
      <c r="V104" s="652"/>
      <c r="W104" s="652"/>
      <c r="X104" s="652"/>
      <c r="Y104" s="652"/>
      <c r="Z104" s="652"/>
      <c r="AA104" s="652"/>
      <c r="AB104" s="652"/>
      <c r="AC104" s="652"/>
      <c r="AD104" s="652"/>
      <c r="AE104" s="709" t="str">
        <f>IFERROR(INDEX(Reit!I$8:I$64,MATCH(AF104,Reit!F$8:F$64,0)),"")</f>
        <v/>
      </c>
      <c r="AF104" s="710" t="str">
        <f t="shared" si="14"/>
        <v/>
      </c>
      <c r="AG104" s="709" t="str">
        <f>IFERROR(INDEX(Reit!I$8:I$64,MATCH(AH104,Reit!F$8:F$64,0)),"")</f>
        <v/>
      </c>
      <c r="AH104" s="710" t="str">
        <f t="shared" si="15"/>
        <v/>
      </c>
      <c r="AI104" s="709" t="str">
        <f>IFERROR(INDEX(Reit!I$8:I$64,MATCH(AJ104,Reit!F$8:F$64,0)),"")</f>
        <v/>
      </c>
      <c r="AJ104" s="710" t="str">
        <f t="shared" si="16"/>
        <v/>
      </c>
      <c r="AK104" s="709" t="str">
        <f>IFERROR(INDEX(Reit!I$8:I$64,MATCH(AL104,Reit!F$8:F$64,0)),"")</f>
        <v/>
      </c>
      <c r="AL104" s="710" t="str">
        <f t="shared" si="17"/>
        <v/>
      </c>
      <c r="AM104" s="652"/>
    </row>
    <row r="105" spans="1:39" hidden="1" x14ac:dyDescent="0.2">
      <c r="A105" s="652"/>
      <c r="B105" s="652"/>
      <c r="C105" s="652"/>
      <c r="D105" s="652"/>
      <c r="E105" s="652"/>
      <c r="F105" s="652"/>
      <c r="G105" s="652"/>
      <c r="H105" s="652"/>
      <c r="I105" s="652"/>
      <c r="J105" s="652"/>
      <c r="K105" s="652"/>
      <c r="L105" s="652"/>
      <c r="M105" s="652"/>
      <c r="N105" s="652"/>
      <c r="O105" s="652"/>
      <c r="P105" s="652"/>
      <c r="Q105" s="652"/>
      <c r="R105" s="652"/>
      <c r="S105" s="652"/>
      <c r="T105" s="652"/>
      <c r="U105" s="652"/>
      <c r="V105" s="652"/>
      <c r="W105" s="652"/>
      <c r="X105" s="652"/>
      <c r="Y105" s="652"/>
      <c r="Z105" s="652"/>
      <c r="AA105" s="652"/>
      <c r="AB105" s="652"/>
      <c r="AC105" s="652"/>
      <c r="AD105" s="652"/>
      <c r="AE105" s="709" t="str">
        <f>IFERROR(INDEX(Reit!I$8:I$64,MATCH(AF105,Reit!F$8:F$64,0)),"")</f>
        <v/>
      </c>
      <c r="AF105" s="710" t="str">
        <f t="shared" si="14"/>
        <v/>
      </c>
      <c r="AG105" s="709" t="str">
        <f>IFERROR(INDEX(Reit!I$8:I$64,MATCH(AH105,Reit!F$8:F$64,0)),"")</f>
        <v/>
      </c>
      <c r="AH105" s="710" t="str">
        <f t="shared" si="15"/>
        <v/>
      </c>
      <c r="AI105" s="709" t="str">
        <f>IFERROR(INDEX(Reit!I$8:I$64,MATCH(AJ105,Reit!F$8:F$64,0)),"")</f>
        <v/>
      </c>
      <c r="AJ105" s="710" t="str">
        <f t="shared" si="16"/>
        <v/>
      </c>
      <c r="AK105" s="709" t="str">
        <f>IFERROR(INDEX(Reit!I$8:I$64,MATCH(AL105,Reit!F$8:F$64,0)),"")</f>
        <v/>
      </c>
      <c r="AL105" s="710" t="str">
        <f t="shared" si="17"/>
        <v/>
      </c>
      <c r="AM105" s="652"/>
    </row>
    <row r="106" spans="1:39" hidden="1" x14ac:dyDescent="0.2">
      <c r="A106" s="652"/>
      <c r="B106" s="652"/>
      <c r="C106" s="652"/>
      <c r="D106" s="652"/>
      <c r="E106" s="652"/>
      <c r="F106" s="652"/>
      <c r="G106" s="652"/>
      <c r="H106" s="652"/>
      <c r="I106" s="652"/>
      <c r="J106" s="652"/>
      <c r="K106" s="652"/>
      <c r="L106" s="652"/>
      <c r="M106" s="652"/>
      <c r="N106" s="652"/>
      <c r="O106" s="652"/>
      <c r="P106" s="652"/>
      <c r="Q106" s="652"/>
      <c r="R106" s="652"/>
      <c r="S106" s="652"/>
      <c r="T106" s="652"/>
      <c r="U106" s="652"/>
      <c r="V106" s="652"/>
      <c r="W106" s="652"/>
      <c r="X106" s="652"/>
      <c r="Y106" s="652"/>
      <c r="Z106" s="652"/>
      <c r="AA106" s="652"/>
      <c r="AB106" s="652"/>
      <c r="AC106" s="652"/>
      <c r="AD106" s="652"/>
      <c r="AE106" s="709" t="str">
        <f>IFERROR(INDEX(Reit!I$8:I$64,MATCH(AF106,Reit!F$8:F$64,0)),"")</f>
        <v/>
      </c>
      <c r="AF106" s="710" t="str">
        <f t="shared" si="14"/>
        <v/>
      </c>
      <c r="AG106" s="709" t="str">
        <f>IFERROR(INDEX(Reit!I$8:I$64,MATCH(AH106,Reit!F$8:F$64,0)),"")</f>
        <v/>
      </c>
      <c r="AH106" s="710" t="str">
        <f t="shared" si="15"/>
        <v/>
      </c>
      <c r="AI106" s="709" t="str">
        <f>IFERROR(INDEX(Reit!I$8:I$64,MATCH(AJ106,Reit!F$8:F$64,0)),"")</f>
        <v/>
      </c>
      <c r="AJ106" s="710" t="str">
        <f t="shared" si="16"/>
        <v/>
      </c>
      <c r="AK106" s="709" t="str">
        <f>IFERROR(INDEX(Reit!I$8:I$64,MATCH(AL106,Reit!F$8:F$64,0)),"")</f>
        <v/>
      </c>
      <c r="AL106" s="710" t="str">
        <f t="shared" si="17"/>
        <v/>
      </c>
      <c r="AM106" s="652"/>
    </row>
    <row r="107" spans="1:39" hidden="1" x14ac:dyDescent="0.2">
      <c r="A107" s="652"/>
      <c r="B107" s="652"/>
      <c r="C107" s="652"/>
      <c r="D107" s="652"/>
      <c r="E107" s="652"/>
      <c r="F107" s="652"/>
      <c r="G107" s="652"/>
      <c r="H107" s="652"/>
      <c r="I107" s="652"/>
      <c r="J107" s="652"/>
      <c r="K107" s="652"/>
      <c r="L107" s="652"/>
      <c r="M107" s="652"/>
      <c r="N107" s="652"/>
      <c r="O107" s="652"/>
      <c r="P107" s="652"/>
      <c r="Q107" s="652"/>
      <c r="R107" s="652"/>
      <c r="S107" s="652"/>
      <c r="T107" s="652"/>
      <c r="U107" s="652"/>
      <c r="V107" s="652"/>
      <c r="W107" s="652"/>
      <c r="X107" s="652"/>
      <c r="Y107" s="652"/>
      <c r="Z107" s="652"/>
      <c r="AA107" s="652"/>
      <c r="AB107" s="652"/>
      <c r="AC107" s="652"/>
      <c r="AD107" s="652"/>
      <c r="AE107" s="709" t="str">
        <f>IFERROR(INDEX(Reit!I$8:I$64,MATCH(AF107,Reit!F$8:F$64,0)),"")</f>
        <v/>
      </c>
      <c r="AF107" s="710" t="str">
        <f t="shared" si="14"/>
        <v/>
      </c>
      <c r="AG107" s="709" t="str">
        <f>IFERROR(INDEX(Reit!I$8:I$64,MATCH(AH107,Reit!F$8:F$64,0)),"")</f>
        <v/>
      </c>
      <c r="AH107" s="710" t="str">
        <f t="shared" si="15"/>
        <v/>
      </c>
      <c r="AI107" s="709" t="str">
        <f>IFERROR(INDEX(Reit!I$8:I$64,MATCH(AJ107,Reit!F$8:F$64,0)),"")</f>
        <v/>
      </c>
      <c r="AJ107" s="710" t="str">
        <f t="shared" si="16"/>
        <v/>
      </c>
      <c r="AK107" s="709" t="str">
        <f>IFERROR(INDEX(Reit!I$8:I$64,MATCH(AL107,Reit!F$8:F$64,0)),"")</f>
        <v/>
      </c>
      <c r="AL107" s="710" t="str">
        <f t="shared" si="17"/>
        <v/>
      </c>
      <c r="AM107" s="652"/>
    </row>
    <row r="108" spans="1:39" hidden="1" x14ac:dyDescent="0.2">
      <c r="A108" s="652"/>
      <c r="B108" s="652"/>
      <c r="C108" s="652"/>
      <c r="D108" s="652"/>
      <c r="E108" s="652"/>
      <c r="F108" s="652"/>
      <c r="G108" s="652"/>
      <c r="H108" s="652"/>
      <c r="I108" s="652"/>
      <c r="J108" s="652"/>
      <c r="K108" s="652"/>
      <c r="L108" s="652"/>
      <c r="M108" s="652"/>
      <c r="N108" s="652"/>
      <c r="O108" s="652"/>
      <c r="P108" s="652"/>
      <c r="Q108" s="652"/>
      <c r="R108" s="652"/>
      <c r="S108" s="652"/>
      <c r="T108" s="652"/>
      <c r="U108" s="652"/>
      <c r="V108" s="652"/>
      <c r="W108" s="652"/>
      <c r="X108" s="652"/>
      <c r="Y108" s="652"/>
      <c r="Z108" s="652"/>
      <c r="AA108" s="652"/>
      <c r="AB108" s="652"/>
      <c r="AC108" s="652"/>
      <c r="AD108" s="652"/>
      <c r="AE108" s="709" t="str">
        <f>IFERROR(INDEX(Reit!I$8:I$64,MATCH(AF108,Reit!F$8:F$64,0)),"")</f>
        <v/>
      </c>
      <c r="AF108" s="710" t="str">
        <f t="shared" si="14"/>
        <v/>
      </c>
      <c r="AG108" s="709" t="str">
        <f>IFERROR(INDEX(Reit!I$8:I$64,MATCH(AH108,Reit!F$8:F$64,0)),"")</f>
        <v/>
      </c>
      <c r="AH108" s="710" t="str">
        <f t="shared" si="15"/>
        <v/>
      </c>
      <c r="AI108" s="709" t="str">
        <f>IFERROR(INDEX(Reit!I$8:I$64,MATCH(AJ108,Reit!F$8:F$64,0)),"")</f>
        <v/>
      </c>
      <c r="AJ108" s="710" t="str">
        <f t="shared" si="16"/>
        <v/>
      </c>
      <c r="AK108" s="709" t="str">
        <f>IFERROR(INDEX(Reit!I$8:I$64,MATCH(AL108,Reit!F$8:F$64,0)),"")</f>
        <v/>
      </c>
      <c r="AL108" s="710" t="str">
        <f t="shared" si="17"/>
        <v/>
      </c>
      <c r="AM108" s="652"/>
    </row>
    <row r="109" spans="1:39" hidden="1" x14ac:dyDescent="0.2">
      <c r="A109" s="652"/>
      <c r="B109" s="652"/>
      <c r="C109" s="652"/>
      <c r="D109" s="652"/>
      <c r="E109" s="652"/>
      <c r="F109" s="652"/>
      <c r="G109" s="652"/>
      <c r="H109" s="652"/>
      <c r="I109" s="652"/>
      <c r="J109" s="652"/>
      <c r="K109" s="652"/>
      <c r="L109" s="652"/>
      <c r="M109" s="652"/>
      <c r="N109" s="652"/>
      <c r="O109" s="652"/>
      <c r="P109" s="652"/>
      <c r="Q109" s="652"/>
      <c r="R109" s="652"/>
      <c r="S109" s="652"/>
      <c r="T109" s="652"/>
      <c r="U109" s="652"/>
      <c r="V109" s="652"/>
      <c r="W109" s="652"/>
      <c r="X109" s="652"/>
      <c r="Y109" s="652"/>
      <c r="Z109" s="652"/>
      <c r="AA109" s="652"/>
      <c r="AB109" s="652"/>
      <c r="AC109" s="652"/>
      <c r="AD109" s="652"/>
      <c r="AE109" s="709" t="str">
        <f>IFERROR(INDEX(Reit!I$8:I$64,MATCH(AF109,Reit!F$8:F$64,0)),"")</f>
        <v/>
      </c>
      <c r="AF109" s="710" t="str">
        <f t="shared" si="14"/>
        <v/>
      </c>
      <c r="AG109" s="709" t="str">
        <f>IFERROR(INDEX(Reit!I$8:I$64,MATCH(AH109,Reit!F$8:F$64,0)),"")</f>
        <v/>
      </c>
      <c r="AH109" s="710" t="str">
        <f t="shared" si="15"/>
        <v/>
      </c>
      <c r="AI109" s="709" t="str">
        <f>IFERROR(INDEX(Reit!I$8:I$64,MATCH(AJ109,Reit!F$8:F$64,0)),"")</f>
        <v/>
      </c>
      <c r="AJ109" s="710" t="str">
        <f t="shared" si="16"/>
        <v/>
      </c>
      <c r="AK109" s="709" t="str">
        <f>IFERROR(INDEX(Reit!I$8:I$64,MATCH(AL109,Reit!F$8:F$64,0)),"")</f>
        <v/>
      </c>
      <c r="AL109" s="710" t="str">
        <f t="shared" si="17"/>
        <v/>
      </c>
      <c r="AM109" s="652"/>
    </row>
    <row r="110" spans="1:39" hidden="1" x14ac:dyDescent="0.2">
      <c r="A110" s="652"/>
      <c r="B110" s="652"/>
      <c r="C110" s="652"/>
      <c r="D110" s="652"/>
      <c r="E110" s="652"/>
      <c r="F110" s="652"/>
      <c r="G110" s="652"/>
      <c r="H110" s="652"/>
      <c r="I110" s="652"/>
      <c r="J110" s="652"/>
      <c r="K110" s="652"/>
      <c r="L110" s="652"/>
      <c r="M110" s="652"/>
      <c r="N110" s="652"/>
      <c r="O110" s="652"/>
      <c r="P110" s="652"/>
      <c r="Q110" s="652"/>
      <c r="R110" s="652"/>
      <c r="S110" s="652"/>
      <c r="T110" s="652"/>
      <c r="U110" s="652"/>
      <c r="V110" s="652"/>
      <c r="W110" s="652"/>
      <c r="X110" s="652"/>
      <c r="Y110" s="652"/>
      <c r="Z110" s="652"/>
      <c r="AA110" s="652"/>
      <c r="AB110" s="652"/>
      <c r="AC110" s="652"/>
      <c r="AD110" s="652"/>
      <c r="AE110" s="709" t="str">
        <f>IFERROR(INDEX(Reit!I$8:I$64,MATCH(AF110,Reit!F$8:F$64,0)),"")</f>
        <v/>
      </c>
      <c r="AF110" s="710" t="str">
        <f t="shared" si="14"/>
        <v/>
      </c>
      <c r="AG110" s="709" t="str">
        <f>IFERROR(INDEX(Reit!I$8:I$64,MATCH(AH110,Reit!F$8:F$64,0)),"")</f>
        <v/>
      </c>
      <c r="AH110" s="710" t="str">
        <f t="shared" si="15"/>
        <v/>
      </c>
      <c r="AI110" s="709" t="str">
        <f>IFERROR(INDEX(Reit!I$8:I$64,MATCH(AJ110,Reit!F$8:F$64,0)),"")</f>
        <v/>
      </c>
      <c r="AJ110" s="710" t="str">
        <f t="shared" si="16"/>
        <v/>
      </c>
      <c r="AK110" s="709" t="str">
        <f>IFERROR(INDEX(Reit!I$8:I$64,MATCH(AL110,Reit!F$8:F$64,0)),"")</f>
        <v/>
      </c>
      <c r="AL110" s="710" t="str">
        <f t="shared" si="17"/>
        <v/>
      </c>
      <c r="AM110" s="652"/>
    </row>
    <row r="111" spans="1:39" hidden="1" x14ac:dyDescent="0.2">
      <c r="A111" s="652"/>
      <c r="B111" s="652"/>
      <c r="C111" s="652"/>
      <c r="D111" s="652"/>
      <c r="E111" s="652"/>
      <c r="F111" s="652"/>
      <c r="G111" s="652"/>
      <c r="H111" s="652"/>
      <c r="I111" s="652"/>
      <c r="J111" s="652"/>
      <c r="K111" s="652"/>
      <c r="L111" s="652"/>
      <c r="M111" s="652"/>
      <c r="N111" s="652"/>
      <c r="O111" s="652"/>
      <c r="P111" s="652"/>
      <c r="Q111" s="652"/>
      <c r="R111" s="652"/>
      <c r="S111" s="652"/>
      <c r="T111" s="652"/>
      <c r="U111" s="652"/>
      <c r="V111" s="652"/>
      <c r="W111" s="652"/>
      <c r="X111" s="652"/>
      <c r="Y111" s="652"/>
      <c r="Z111" s="652"/>
      <c r="AA111" s="652"/>
      <c r="AB111" s="652"/>
      <c r="AC111" s="652"/>
      <c r="AD111" s="652"/>
      <c r="AE111" s="709" t="str">
        <f>IFERROR(INDEX(Reit!I$8:I$64,MATCH(AF111,Reit!F$8:F$64,0)),"")</f>
        <v/>
      </c>
      <c r="AF111" s="710" t="str">
        <f t="shared" si="14"/>
        <v/>
      </c>
      <c r="AG111" s="709" t="str">
        <f>IFERROR(INDEX(Reit!I$8:I$64,MATCH(AH111,Reit!F$8:F$64,0)),"")</f>
        <v/>
      </c>
      <c r="AH111" s="710" t="str">
        <f t="shared" si="15"/>
        <v/>
      </c>
      <c r="AI111" s="709" t="str">
        <f>IFERROR(INDEX(Reit!I$8:I$64,MATCH(AJ111,Reit!F$8:F$64,0)),"")</f>
        <v/>
      </c>
      <c r="AJ111" s="710" t="str">
        <f t="shared" si="16"/>
        <v/>
      </c>
      <c r="AK111" s="709" t="str">
        <f>IFERROR(INDEX(Reit!I$8:I$64,MATCH(AL111,Reit!F$8:F$64,0)),"")</f>
        <v/>
      </c>
      <c r="AL111" s="710" t="str">
        <f t="shared" si="17"/>
        <v/>
      </c>
      <c r="AM111" s="652"/>
    </row>
    <row r="112" spans="1:39" hidden="1" x14ac:dyDescent="0.2">
      <c r="A112" s="652"/>
      <c r="B112" s="652"/>
      <c r="C112" s="652"/>
      <c r="D112" s="652"/>
      <c r="E112" s="652"/>
      <c r="F112" s="652"/>
      <c r="G112" s="652"/>
      <c r="H112" s="652"/>
      <c r="I112" s="652"/>
      <c r="J112" s="652"/>
      <c r="K112" s="652"/>
      <c r="L112" s="652"/>
      <c r="M112" s="652"/>
      <c r="N112" s="652"/>
      <c r="O112" s="652"/>
      <c r="P112" s="652"/>
      <c r="Q112" s="652"/>
      <c r="R112" s="652"/>
      <c r="S112" s="652"/>
      <c r="T112" s="652"/>
      <c r="U112" s="652"/>
      <c r="V112" s="652"/>
      <c r="W112" s="652"/>
      <c r="X112" s="652"/>
      <c r="Y112" s="652"/>
      <c r="Z112" s="652"/>
      <c r="AA112" s="652"/>
      <c r="AB112" s="652"/>
      <c r="AC112" s="652"/>
      <c r="AD112" s="652"/>
      <c r="AE112" s="709" t="str">
        <f>IFERROR(INDEX(Reit!I$8:I$64,MATCH(AF112,Reit!F$8:F$64,0)),"")</f>
        <v/>
      </c>
      <c r="AF112" s="710" t="str">
        <f t="shared" si="14"/>
        <v/>
      </c>
      <c r="AG112" s="709" t="str">
        <f>IFERROR(INDEX(Reit!I$8:I$64,MATCH(AH112,Reit!F$8:F$64,0)),"")</f>
        <v/>
      </c>
      <c r="AH112" s="710" t="str">
        <f t="shared" si="15"/>
        <v/>
      </c>
      <c r="AI112" s="709" t="str">
        <f>IFERROR(INDEX(Reit!I$8:I$64,MATCH(AJ112,Reit!F$8:F$64,0)),"")</f>
        <v/>
      </c>
      <c r="AJ112" s="710" t="str">
        <f t="shared" si="16"/>
        <v/>
      </c>
      <c r="AK112" s="709" t="str">
        <f>IFERROR(INDEX(Reit!I$8:I$64,MATCH(AL112,Reit!F$8:F$64,0)),"")</f>
        <v/>
      </c>
      <c r="AL112" s="710" t="str">
        <f t="shared" si="17"/>
        <v/>
      </c>
      <c r="AM112" s="652"/>
    </row>
    <row r="113" spans="1:39" hidden="1" x14ac:dyDescent="0.2">
      <c r="A113" s="652"/>
      <c r="B113" s="652"/>
      <c r="C113" s="652"/>
      <c r="D113" s="652"/>
      <c r="E113" s="652"/>
      <c r="F113" s="652"/>
      <c r="G113" s="652"/>
      <c r="H113" s="652"/>
      <c r="I113" s="652"/>
      <c r="J113" s="652"/>
      <c r="K113" s="652"/>
      <c r="L113" s="652"/>
      <c r="M113" s="652"/>
      <c r="N113" s="652"/>
      <c r="O113" s="652"/>
      <c r="P113" s="652"/>
      <c r="Q113" s="652"/>
      <c r="R113" s="652"/>
      <c r="S113" s="652"/>
      <c r="T113" s="652"/>
      <c r="U113" s="652"/>
      <c r="V113" s="652"/>
      <c r="W113" s="652"/>
      <c r="X113" s="652"/>
      <c r="Y113" s="652"/>
      <c r="Z113" s="652"/>
      <c r="AA113" s="652"/>
      <c r="AB113" s="652"/>
      <c r="AC113" s="652"/>
      <c r="AD113" s="652"/>
      <c r="AE113" s="709" t="str">
        <f>IFERROR(INDEX(Reit!I$8:I$64,MATCH(AF113,Reit!F$8:F$64,0)),"")</f>
        <v/>
      </c>
      <c r="AF113" s="710" t="str">
        <f t="shared" si="14"/>
        <v/>
      </c>
      <c r="AG113" s="709" t="str">
        <f>IFERROR(INDEX(Reit!I$8:I$64,MATCH(AH113,Reit!F$8:F$64,0)),"")</f>
        <v/>
      </c>
      <c r="AH113" s="710" t="str">
        <f t="shared" si="15"/>
        <v/>
      </c>
      <c r="AI113" s="709" t="str">
        <f>IFERROR(INDEX(Reit!I$8:I$64,MATCH(AJ113,Reit!F$8:F$64,0)),"")</f>
        <v/>
      </c>
      <c r="AJ113" s="710" t="str">
        <f t="shared" si="16"/>
        <v/>
      </c>
      <c r="AK113" s="709" t="str">
        <f>IFERROR(INDEX(Reit!I$8:I$64,MATCH(AL113,Reit!F$8:F$64,0)),"")</f>
        <v/>
      </c>
      <c r="AL113" s="710" t="str">
        <f t="shared" si="17"/>
        <v/>
      </c>
      <c r="AM113" s="652"/>
    </row>
    <row r="114" spans="1:39" hidden="1" x14ac:dyDescent="0.2">
      <c r="A114" s="652"/>
      <c r="B114" s="652"/>
      <c r="C114" s="652"/>
      <c r="D114" s="652"/>
      <c r="E114" s="652"/>
      <c r="F114" s="652"/>
      <c r="G114" s="652"/>
      <c r="H114" s="652"/>
      <c r="I114" s="652"/>
      <c r="J114" s="652"/>
      <c r="K114" s="652"/>
      <c r="L114" s="652"/>
      <c r="M114" s="652"/>
      <c r="N114" s="652"/>
      <c r="O114" s="652"/>
      <c r="P114" s="652"/>
      <c r="Q114" s="652"/>
      <c r="R114" s="652"/>
      <c r="S114" s="652"/>
      <c r="T114" s="652"/>
      <c r="U114" s="652"/>
      <c r="V114" s="652"/>
      <c r="W114" s="652"/>
      <c r="X114" s="652"/>
      <c r="Y114" s="652"/>
      <c r="Z114" s="652"/>
      <c r="AA114" s="652"/>
      <c r="AB114" s="652"/>
      <c r="AC114" s="652"/>
      <c r="AD114" s="652"/>
      <c r="AE114" s="709" t="str">
        <f>IFERROR(INDEX(Reit!I$8:I$64,MATCH(AF114,Reit!F$8:F$64,0)),"")</f>
        <v/>
      </c>
      <c r="AF114" s="710" t="str">
        <f t="shared" si="14"/>
        <v/>
      </c>
      <c r="AG114" s="709" t="str">
        <f>IFERROR(INDEX(Reit!I$8:I$64,MATCH(AH114,Reit!F$8:F$64,0)),"")</f>
        <v/>
      </c>
      <c r="AH114" s="710" t="str">
        <f t="shared" si="15"/>
        <v/>
      </c>
      <c r="AI114" s="709" t="str">
        <f>IFERROR(INDEX(Reit!I$8:I$64,MATCH(AJ114,Reit!F$8:F$64,0)),"")</f>
        <v/>
      </c>
      <c r="AJ114" s="710" t="str">
        <f t="shared" si="16"/>
        <v/>
      </c>
      <c r="AK114" s="709" t="str">
        <f>IFERROR(INDEX(Reit!I$8:I$64,MATCH(AL114,Reit!F$8:F$64,0)),"")</f>
        <v/>
      </c>
      <c r="AL114" s="710" t="str">
        <f t="shared" si="17"/>
        <v/>
      </c>
      <c r="AM114" s="652"/>
    </row>
    <row r="115" spans="1:39" hidden="1" x14ac:dyDescent="0.2">
      <c r="A115" s="652"/>
      <c r="B115" s="652"/>
      <c r="C115" s="652"/>
      <c r="D115" s="652"/>
      <c r="E115" s="652"/>
      <c r="F115" s="652"/>
      <c r="G115" s="652"/>
      <c r="H115" s="652"/>
      <c r="I115" s="652"/>
      <c r="J115" s="652"/>
      <c r="K115" s="652"/>
      <c r="L115" s="652"/>
      <c r="M115" s="652"/>
      <c r="N115" s="652"/>
      <c r="O115" s="652"/>
      <c r="P115" s="652"/>
      <c r="Q115" s="652"/>
      <c r="R115" s="652"/>
      <c r="S115" s="652"/>
      <c r="T115" s="652"/>
      <c r="U115" s="652"/>
      <c r="V115" s="652"/>
      <c r="W115" s="652"/>
      <c r="X115" s="652"/>
      <c r="Y115" s="652"/>
      <c r="Z115" s="652"/>
      <c r="AA115" s="652"/>
      <c r="AB115" s="652"/>
      <c r="AC115" s="652"/>
      <c r="AD115" s="652"/>
      <c r="AE115" s="709" t="str">
        <f>IFERROR(INDEX(Reit!I$8:I$64,MATCH(AF115,Reit!F$8:F$64,0)),"")</f>
        <v/>
      </c>
      <c r="AF115" s="710" t="str">
        <f t="shared" si="14"/>
        <v/>
      </c>
      <c r="AG115" s="709" t="str">
        <f>IFERROR(INDEX(Reit!I$8:I$64,MATCH(AH115,Reit!F$8:F$64,0)),"")</f>
        <v/>
      </c>
      <c r="AH115" s="710" t="str">
        <f t="shared" si="15"/>
        <v/>
      </c>
      <c r="AI115" s="709" t="str">
        <f>IFERROR(INDEX(Reit!I$8:I$64,MATCH(AJ115,Reit!F$8:F$64,0)),"")</f>
        <v/>
      </c>
      <c r="AJ115" s="710" t="str">
        <f t="shared" si="16"/>
        <v/>
      </c>
      <c r="AK115" s="709" t="str">
        <f>IFERROR(INDEX(Reit!I$8:I$64,MATCH(AL115,Reit!F$8:F$64,0)),"")</f>
        <v/>
      </c>
      <c r="AL115" s="710" t="str">
        <f t="shared" si="17"/>
        <v/>
      </c>
      <c r="AM115" s="652"/>
    </row>
    <row r="116" spans="1:39" hidden="1" x14ac:dyDescent="0.2">
      <c r="A116" s="652"/>
      <c r="B116" s="652"/>
      <c r="C116" s="652"/>
      <c r="D116" s="652"/>
      <c r="E116" s="652"/>
      <c r="F116" s="652"/>
      <c r="G116" s="652"/>
      <c r="H116" s="652"/>
      <c r="I116" s="652"/>
      <c r="J116" s="652"/>
      <c r="K116" s="652"/>
      <c r="L116" s="652"/>
      <c r="M116" s="652"/>
      <c r="N116" s="652"/>
      <c r="O116" s="652"/>
      <c r="P116" s="652"/>
      <c r="Q116" s="652"/>
      <c r="R116" s="652"/>
      <c r="S116" s="652"/>
      <c r="T116" s="652"/>
      <c r="U116" s="652"/>
      <c r="V116" s="652"/>
      <c r="W116" s="652"/>
      <c r="X116" s="652"/>
      <c r="Y116" s="652"/>
      <c r="Z116" s="652"/>
      <c r="AA116" s="652"/>
      <c r="AB116" s="652"/>
      <c r="AC116" s="652"/>
      <c r="AD116" s="652"/>
      <c r="AE116" s="709" t="str">
        <f>IFERROR(INDEX(Reit!I$8:I$64,MATCH(AF116,Reit!F$8:F$64,0)),"")</f>
        <v/>
      </c>
      <c r="AF116" s="710" t="str">
        <f t="shared" si="14"/>
        <v/>
      </c>
      <c r="AG116" s="709" t="str">
        <f>IFERROR(INDEX(Reit!I$8:I$64,MATCH(AH116,Reit!F$8:F$64,0)),"")</f>
        <v/>
      </c>
      <c r="AH116" s="710" t="str">
        <f t="shared" si="15"/>
        <v/>
      </c>
      <c r="AI116" s="709" t="str">
        <f>IFERROR(INDEX(Reit!I$8:I$64,MATCH(AJ116,Reit!F$8:F$64,0)),"")</f>
        <v/>
      </c>
      <c r="AJ116" s="710" t="str">
        <f t="shared" si="16"/>
        <v/>
      </c>
      <c r="AK116" s="709" t="str">
        <f>IFERROR(INDEX(Reit!I$8:I$64,MATCH(AL116,Reit!F$8:F$64,0)),"")</f>
        <v/>
      </c>
      <c r="AL116" s="710" t="str">
        <f t="shared" si="17"/>
        <v/>
      </c>
      <c r="AM116" s="652"/>
    </row>
    <row r="117" spans="1:39" hidden="1" x14ac:dyDescent="0.2">
      <c r="A117" s="652"/>
      <c r="B117" s="652"/>
      <c r="C117" s="652"/>
      <c r="D117" s="652"/>
      <c r="E117" s="652"/>
      <c r="F117" s="652"/>
      <c r="G117" s="652"/>
      <c r="H117" s="652"/>
      <c r="I117" s="652"/>
      <c r="J117" s="652"/>
      <c r="K117" s="652"/>
      <c r="L117" s="652"/>
      <c r="M117" s="652"/>
      <c r="N117" s="652"/>
      <c r="O117" s="652"/>
      <c r="P117" s="652"/>
      <c r="Q117" s="652"/>
      <c r="R117" s="652"/>
      <c r="S117" s="652"/>
      <c r="T117" s="652"/>
      <c r="U117" s="652"/>
      <c r="V117" s="652"/>
      <c r="W117" s="652"/>
      <c r="X117" s="652"/>
      <c r="Y117" s="652"/>
      <c r="Z117" s="652"/>
      <c r="AA117" s="652"/>
      <c r="AB117" s="652"/>
      <c r="AC117" s="652"/>
      <c r="AD117" s="652"/>
      <c r="AE117" s="709" t="str">
        <f>IFERROR(INDEX(Reit!I$8:I$64,MATCH(AF117,Reit!F$8:F$64,0)),"")</f>
        <v/>
      </c>
      <c r="AF117" s="710" t="str">
        <f t="shared" si="14"/>
        <v/>
      </c>
      <c r="AG117" s="709" t="str">
        <f>IFERROR(INDEX(Reit!I$8:I$64,MATCH(AH117,Reit!F$8:F$64,0)),"")</f>
        <v/>
      </c>
      <c r="AH117" s="710" t="str">
        <f t="shared" si="15"/>
        <v/>
      </c>
      <c r="AI117" s="709" t="str">
        <f>IFERROR(INDEX(Reit!I$8:I$64,MATCH(AJ117,Reit!F$8:F$64,0)),"")</f>
        <v/>
      </c>
      <c r="AJ117" s="710" t="str">
        <f t="shared" si="16"/>
        <v/>
      </c>
      <c r="AK117" s="709" t="str">
        <f>IFERROR(INDEX(Reit!I$8:I$64,MATCH(AL117,Reit!F$8:F$64,0)),"")</f>
        <v/>
      </c>
      <c r="AL117" s="710" t="str">
        <f t="shared" si="17"/>
        <v/>
      </c>
      <c r="AM117" s="652"/>
    </row>
    <row r="118" spans="1:39" hidden="1" x14ac:dyDescent="0.2">
      <c r="A118" s="652"/>
      <c r="B118" s="652"/>
      <c r="C118" s="652"/>
      <c r="D118" s="652"/>
      <c r="E118" s="652"/>
      <c r="F118" s="652"/>
      <c r="G118" s="652"/>
      <c r="H118" s="652"/>
      <c r="I118" s="652"/>
      <c r="J118" s="652"/>
      <c r="K118" s="652"/>
      <c r="L118" s="652"/>
      <c r="M118" s="652"/>
      <c r="N118" s="652"/>
      <c r="O118" s="652"/>
      <c r="P118" s="652"/>
      <c r="Q118" s="652"/>
      <c r="R118" s="652"/>
      <c r="S118" s="652"/>
      <c r="T118" s="652"/>
      <c r="U118" s="652"/>
      <c r="V118" s="652"/>
      <c r="W118" s="652"/>
      <c r="X118" s="652"/>
      <c r="Y118" s="652"/>
      <c r="Z118" s="652"/>
      <c r="AA118" s="652"/>
      <c r="AB118" s="652"/>
      <c r="AC118" s="652"/>
      <c r="AD118" s="652"/>
      <c r="AE118" s="709" t="str">
        <f>IFERROR(INDEX(Reit!I$8:I$64,MATCH(AF118,Reit!F$8:F$64,0)),"")</f>
        <v/>
      </c>
      <c r="AF118" s="710" t="str">
        <f t="shared" si="14"/>
        <v/>
      </c>
      <c r="AG118" s="709" t="str">
        <f>IFERROR(INDEX(Reit!I$8:I$64,MATCH(AH118,Reit!F$8:F$64,0)),"")</f>
        <v/>
      </c>
      <c r="AH118" s="710" t="str">
        <f t="shared" si="15"/>
        <v/>
      </c>
      <c r="AI118" s="709" t="str">
        <f>IFERROR(INDEX(Reit!I$8:I$64,MATCH(AJ118,Reit!F$8:F$64,0)),"")</f>
        <v/>
      </c>
      <c r="AJ118" s="710" t="str">
        <f t="shared" si="16"/>
        <v/>
      </c>
      <c r="AK118" s="709" t="str">
        <f>IFERROR(INDEX(Reit!I$8:I$64,MATCH(AL118,Reit!F$8:F$64,0)),"")</f>
        <v/>
      </c>
      <c r="AL118" s="710" t="str">
        <f t="shared" si="17"/>
        <v/>
      </c>
      <c r="AM118" s="652"/>
    </row>
    <row r="119" spans="1:39" hidden="1" x14ac:dyDescent="0.2">
      <c r="A119" s="652"/>
      <c r="B119" s="652"/>
      <c r="C119" s="652"/>
      <c r="D119" s="652"/>
      <c r="E119" s="652"/>
      <c r="F119" s="652"/>
      <c r="G119" s="652"/>
      <c r="H119" s="652"/>
      <c r="I119" s="652"/>
      <c r="J119" s="652"/>
      <c r="K119" s="652"/>
      <c r="L119" s="652"/>
      <c r="M119" s="652"/>
      <c r="N119" s="652"/>
      <c r="O119" s="652"/>
      <c r="P119" s="652"/>
      <c r="Q119" s="652"/>
      <c r="R119" s="652"/>
      <c r="S119" s="652"/>
      <c r="T119" s="652"/>
      <c r="U119" s="652"/>
      <c r="V119" s="652"/>
      <c r="W119" s="652"/>
      <c r="X119" s="652"/>
      <c r="Y119" s="652"/>
      <c r="Z119" s="652"/>
      <c r="AA119" s="652"/>
      <c r="AB119" s="652"/>
      <c r="AC119" s="652"/>
      <c r="AD119" s="652"/>
      <c r="AE119" s="709" t="str">
        <f>IFERROR(INDEX(Reit!I$8:I$64,MATCH(AF119,Reit!F$8:F$64,0)),"")</f>
        <v/>
      </c>
      <c r="AF119" s="710" t="str">
        <f t="shared" si="14"/>
        <v/>
      </c>
      <c r="AG119" s="709" t="str">
        <f>IFERROR(INDEX(Reit!I$8:I$64,MATCH(AH119,Reit!F$8:F$64,0)),"")</f>
        <v/>
      </c>
      <c r="AH119" s="710" t="str">
        <f t="shared" si="15"/>
        <v/>
      </c>
      <c r="AI119" s="709" t="str">
        <f>IFERROR(INDEX(Reit!I$8:I$64,MATCH(AJ119,Reit!F$8:F$64,0)),"")</f>
        <v/>
      </c>
      <c r="AJ119" s="710" t="str">
        <f t="shared" si="16"/>
        <v/>
      </c>
      <c r="AK119" s="709" t="str">
        <f>IFERROR(INDEX(Reit!I$8:I$64,MATCH(AL119,Reit!F$8:F$64,0)),"")</f>
        <v/>
      </c>
      <c r="AL119" s="710" t="str">
        <f t="shared" si="17"/>
        <v/>
      </c>
      <c r="AM119" s="652"/>
    </row>
    <row r="120" spans="1:39" hidden="1" x14ac:dyDescent="0.2">
      <c r="A120" s="652"/>
      <c r="B120" s="652"/>
      <c r="C120" s="652"/>
      <c r="D120" s="652"/>
      <c r="E120" s="652"/>
      <c r="F120" s="652"/>
      <c r="G120" s="652"/>
      <c r="H120" s="652"/>
      <c r="I120" s="652"/>
      <c r="J120" s="652"/>
      <c r="K120" s="652"/>
      <c r="L120" s="652"/>
      <c r="M120" s="652"/>
      <c r="N120" s="652"/>
      <c r="O120" s="652"/>
      <c r="P120" s="652"/>
      <c r="Q120" s="652"/>
      <c r="R120" s="652"/>
      <c r="S120" s="652"/>
      <c r="T120" s="652"/>
      <c r="U120" s="652"/>
      <c r="V120" s="652"/>
      <c r="W120" s="652"/>
      <c r="X120" s="652"/>
      <c r="Y120" s="652"/>
      <c r="Z120" s="652"/>
      <c r="AA120" s="652"/>
      <c r="AB120" s="652"/>
      <c r="AC120" s="652"/>
      <c r="AD120" s="652"/>
      <c r="AE120" s="709" t="str">
        <f>IFERROR(INDEX(Reit!I$8:I$64,MATCH(AF120,Reit!F$8:F$64,0)),"")</f>
        <v/>
      </c>
      <c r="AF120" s="710" t="str">
        <f t="shared" si="14"/>
        <v/>
      </c>
      <c r="AG120" s="709" t="str">
        <f>IFERROR(INDEX(Reit!I$8:I$64,MATCH(AH120,Reit!F$8:F$64,0)),"")</f>
        <v/>
      </c>
      <c r="AH120" s="710" t="str">
        <f t="shared" si="15"/>
        <v/>
      </c>
      <c r="AI120" s="709" t="str">
        <f>IFERROR(INDEX(Reit!I$8:I$64,MATCH(AJ120,Reit!F$8:F$64,0)),"")</f>
        <v/>
      </c>
      <c r="AJ120" s="710" t="str">
        <f t="shared" si="16"/>
        <v/>
      </c>
      <c r="AK120" s="709" t="str">
        <f>IFERROR(INDEX(Reit!I$8:I$64,MATCH(AL120,Reit!F$8:F$64,0)),"")</f>
        <v/>
      </c>
      <c r="AL120" s="710" t="str">
        <f t="shared" si="17"/>
        <v/>
      </c>
      <c r="AM120" s="652"/>
    </row>
    <row r="121" spans="1:39" hidden="1" x14ac:dyDescent="0.2">
      <c r="A121" s="652"/>
      <c r="B121" s="652"/>
      <c r="C121" s="652"/>
      <c r="D121" s="652"/>
      <c r="E121" s="652"/>
      <c r="F121" s="652"/>
      <c r="G121" s="652"/>
      <c r="H121" s="652"/>
      <c r="I121" s="652"/>
      <c r="J121" s="652"/>
      <c r="K121" s="652"/>
      <c r="L121" s="652"/>
      <c r="M121" s="652"/>
      <c r="N121" s="652"/>
      <c r="O121" s="652"/>
      <c r="P121" s="652"/>
      <c r="Q121" s="652"/>
      <c r="R121" s="652"/>
      <c r="S121" s="652"/>
      <c r="T121" s="652"/>
      <c r="U121" s="652"/>
      <c r="V121" s="652"/>
      <c r="W121" s="652"/>
      <c r="X121" s="652"/>
      <c r="Y121" s="652"/>
      <c r="Z121" s="652"/>
      <c r="AA121" s="652"/>
      <c r="AB121" s="652"/>
      <c r="AC121" s="652"/>
      <c r="AD121" s="652"/>
      <c r="AE121" s="709" t="str">
        <f>IFERROR(INDEX(Reit!I$8:I$64,MATCH(AF121,Reit!F$8:F$64,0)),"")</f>
        <v/>
      </c>
      <c r="AF121" s="710" t="str">
        <f t="shared" si="14"/>
        <v/>
      </c>
      <c r="AG121" s="709" t="str">
        <f>IFERROR(INDEX(Reit!I$8:I$64,MATCH(AH121,Reit!F$8:F$64,0)),"")</f>
        <v/>
      </c>
      <c r="AH121" s="710" t="str">
        <f t="shared" si="15"/>
        <v/>
      </c>
      <c r="AI121" s="709" t="str">
        <f>IFERROR(INDEX(Reit!I$8:I$64,MATCH(AJ121,Reit!F$8:F$64,0)),"")</f>
        <v/>
      </c>
      <c r="AJ121" s="710" t="str">
        <f t="shared" si="16"/>
        <v/>
      </c>
      <c r="AK121" s="709" t="str">
        <f>IFERROR(INDEX(Reit!I$8:I$64,MATCH(AL121,Reit!F$8:F$64,0)),"")</f>
        <v/>
      </c>
      <c r="AL121" s="710" t="str">
        <f t="shared" si="17"/>
        <v/>
      </c>
      <c r="AM121" s="652"/>
    </row>
    <row r="122" spans="1:39" hidden="1" x14ac:dyDescent="0.2">
      <c r="A122" s="652"/>
      <c r="B122" s="652"/>
      <c r="C122" s="652"/>
      <c r="D122" s="652"/>
      <c r="E122" s="652"/>
      <c r="F122" s="652"/>
      <c r="G122" s="652"/>
      <c r="H122" s="652"/>
      <c r="I122" s="652"/>
      <c r="J122" s="652"/>
      <c r="K122" s="652"/>
      <c r="L122" s="652"/>
      <c r="M122" s="652"/>
      <c r="N122" s="652"/>
      <c r="O122" s="652"/>
      <c r="P122" s="652"/>
      <c r="Q122" s="652"/>
      <c r="R122" s="652"/>
      <c r="S122" s="652"/>
      <c r="T122" s="652"/>
      <c r="U122" s="652"/>
      <c r="V122" s="652"/>
      <c r="W122" s="652"/>
      <c r="X122" s="652"/>
      <c r="Y122" s="652"/>
      <c r="Z122" s="652"/>
      <c r="AA122" s="652"/>
      <c r="AB122" s="652"/>
      <c r="AC122" s="652"/>
      <c r="AD122" s="652"/>
      <c r="AE122" s="709" t="str">
        <f>IFERROR(INDEX(Reit!I$8:I$64,MATCH(AF122,Reit!F$8:F$64,0)),"")</f>
        <v/>
      </c>
      <c r="AF122" s="710" t="str">
        <f t="shared" si="14"/>
        <v/>
      </c>
      <c r="AG122" s="709" t="str">
        <f>IFERROR(INDEX(Reit!I$8:I$64,MATCH(AH122,Reit!F$8:F$64,0)),"")</f>
        <v/>
      </c>
      <c r="AH122" s="710" t="str">
        <f t="shared" si="15"/>
        <v/>
      </c>
      <c r="AI122" s="709" t="str">
        <f>IFERROR(INDEX(Reit!I$8:I$64,MATCH(AJ122,Reit!F$8:F$64,0)),"")</f>
        <v/>
      </c>
      <c r="AJ122" s="710" t="str">
        <f t="shared" si="16"/>
        <v/>
      </c>
      <c r="AK122" s="709" t="str">
        <f>IFERROR(INDEX(Reit!I$8:I$64,MATCH(AL122,Reit!F$8:F$64,0)),"")</f>
        <v/>
      </c>
      <c r="AL122" s="710" t="str">
        <f t="shared" si="17"/>
        <v/>
      </c>
      <c r="AM122" s="652"/>
    </row>
    <row r="123" spans="1:39" hidden="1" x14ac:dyDescent="0.2">
      <c r="A123" s="652"/>
      <c r="B123" s="652"/>
      <c r="C123" s="652"/>
      <c r="D123" s="652"/>
      <c r="E123" s="652"/>
      <c r="F123" s="652"/>
      <c r="G123" s="652"/>
      <c r="H123" s="652"/>
      <c r="I123" s="652"/>
      <c r="J123" s="652"/>
      <c r="K123" s="652"/>
      <c r="L123" s="652"/>
      <c r="M123" s="652"/>
      <c r="N123" s="652"/>
      <c r="O123" s="652"/>
      <c r="P123" s="652"/>
      <c r="Q123" s="652"/>
      <c r="R123" s="652"/>
      <c r="S123" s="652"/>
      <c r="T123" s="652"/>
      <c r="U123" s="652"/>
      <c r="V123" s="652"/>
      <c r="W123" s="652"/>
      <c r="X123" s="652"/>
      <c r="Y123" s="652"/>
      <c r="Z123" s="652"/>
      <c r="AA123" s="652"/>
      <c r="AB123" s="652"/>
      <c r="AC123" s="652"/>
      <c r="AD123" s="652"/>
      <c r="AE123" s="709" t="str">
        <f>IFERROR(INDEX(Reit!I$8:I$64,MATCH(AF123,Reit!F$8:F$64,0)),"")</f>
        <v/>
      </c>
      <c r="AF123" s="710" t="str">
        <f t="shared" si="14"/>
        <v/>
      </c>
      <c r="AG123" s="709" t="str">
        <f>IFERROR(INDEX(Reit!I$8:I$64,MATCH(AH123,Reit!F$8:F$64,0)),"")</f>
        <v/>
      </c>
      <c r="AH123" s="710" t="str">
        <f t="shared" si="15"/>
        <v/>
      </c>
      <c r="AI123" s="709" t="str">
        <f>IFERROR(INDEX(Reit!I$8:I$64,MATCH(AJ123,Reit!F$8:F$64,0)),"")</f>
        <v/>
      </c>
      <c r="AJ123" s="710" t="str">
        <f t="shared" si="16"/>
        <v/>
      </c>
      <c r="AK123" s="709" t="str">
        <f>IFERROR(INDEX(Reit!I$8:I$64,MATCH(AL123,Reit!F$8:F$64,0)),"")</f>
        <v/>
      </c>
      <c r="AL123" s="710" t="str">
        <f t="shared" si="17"/>
        <v/>
      </c>
      <c r="AM123" s="652"/>
    </row>
    <row r="124" spans="1:39" hidden="1" x14ac:dyDescent="0.2">
      <c r="A124" s="652"/>
      <c r="B124" s="652"/>
      <c r="C124" s="652"/>
      <c r="D124" s="652"/>
      <c r="E124" s="652"/>
      <c r="F124" s="652"/>
      <c r="G124" s="652"/>
      <c r="H124" s="652"/>
      <c r="I124" s="652"/>
      <c r="J124" s="652"/>
      <c r="K124" s="652"/>
      <c r="L124" s="652"/>
      <c r="M124" s="652"/>
      <c r="N124" s="652"/>
      <c r="O124" s="652"/>
      <c r="P124" s="652"/>
      <c r="Q124" s="652"/>
      <c r="R124" s="652"/>
      <c r="S124" s="652"/>
      <c r="T124" s="652"/>
      <c r="U124" s="652"/>
      <c r="V124" s="652"/>
      <c r="W124" s="652"/>
      <c r="X124" s="652"/>
      <c r="Y124" s="652"/>
      <c r="Z124" s="652"/>
      <c r="AA124" s="652"/>
      <c r="AB124" s="652"/>
      <c r="AC124" s="652"/>
      <c r="AD124" s="652"/>
      <c r="AE124" s="709" t="str">
        <f>IFERROR(INDEX(Reit!I$8:I$64,MATCH(AF124,Reit!F$8:F$64,0)),"")</f>
        <v/>
      </c>
      <c r="AF124" s="710" t="str">
        <f t="shared" si="14"/>
        <v/>
      </c>
      <c r="AG124" s="709" t="str">
        <f>IFERROR(INDEX(Reit!I$8:I$64,MATCH(AH124,Reit!F$8:F$64,0)),"")</f>
        <v/>
      </c>
      <c r="AH124" s="710" t="str">
        <f t="shared" si="15"/>
        <v/>
      </c>
      <c r="AI124" s="709" t="str">
        <f>IFERROR(INDEX(Reit!I$8:I$64,MATCH(AJ124,Reit!F$8:F$64,0)),"")</f>
        <v/>
      </c>
      <c r="AJ124" s="710" t="str">
        <f t="shared" si="16"/>
        <v/>
      </c>
      <c r="AK124" s="709" t="str">
        <f>IFERROR(INDEX(Reit!I$8:I$64,MATCH(AL124,Reit!F$8:F$64,0)),"")</f>
        <v/>
      </c>
      <c r="AL124" s="710" t="str">
        <f t="shared" si="17"/>
        <v/>
      </c>
      <c r="AM124" s="652"/>
    </row>
    <row r="125" spans="1:39" hidden="1" x14ac:dyDescent="0.2">
      <c r="A125" s="652"/>
      <c r="B125" s="652"/>
      <c r="C125" s="652"/>
      <c r="D125" s="652"/>
      <c r="E125" s="652"/>
      <c r="F125" s="652"/>
      <c r="G125" s="652"/>
      <c r="H125" s="652"/>
      <c r="I125" s="652"/>
      <c r="J125" s="652"/>
      <c r="K125" s="652"/>
      <c r="L125" s="652"/>
      <c r="M125" s="652"/>
      <c r="N125" s="652"/>
      <c r="O125" s="652"/>
      <c r="P125" s="652"/>
      <c r="Q125" s="652"/>
      <c r="R125" s="652"/>
      <c r="S125" s="652"/>
      <c r="T125" s="652"/>
      <c r="U125" s="652"/>
      <c r="V125" s="652"/>
      <c r="W125" s="652"/>
      <c r="X125" s="652"/>
      <c r="Y125" s="652"/>
      <c r="Z125" s="652"/>
      <c r="AA125" s="652"/>
      <c r="AB125" s="652"/>
      <c r="AC125" s="652"/>
      <c r="AD125" s="652"/>
      <c r="AE125" s="709" t="str">
        <f>IFERROR(INDEX(Reit!I$8:I$64,MATCH(AF125,Reit!F$8:F$64,0)),"")</f>
        <v/>
      </c>
      <c r="AF125" s="710" t="str">
        <f t="shared" si="14"/>
        <v/>
      </c>
      <c r="AG125" s="709" t="str">
        <f>IFERROR(INDEX(Reit!I$8:I$64,MATCH(AH125,Reit!F$8:F$64,0)),"")</f>
        <v/>
      </c>
      <c r="AH125" s="710" t="str">
        <f t="shared" si="15"/>
        <v/>
      </c>
      <c r="AI125" s="709" t="str">
        <f>IFERROR(INDEX(Reit!I$8:I$64,MATCH(AJ125,Reit!F$8:F$64,0)),"")</f>
        <v/>
      </c>
      <c r="AJ125" s="710" t="str">
        <f t="shared" si="16"/>
        <v/>
      </c>
      <c r="AK125" s="709" t="str">
        <f>IFERROR(INDEX(Reit!I$8:I$64,MATCH(AL125,Reit!F$8:F$64,0)),"")</f>
        <v/>
      </c>
      <c r="AL125" s="710" t="str">
        <f t="shared" si="17"/>
        <v/>
      </c>
      <c r="AM125" s="652"/>
    </row>
    <row r="126" spans="1:39" hidden="1" x14ac:dyDescent="0.2">
      <c r="A126" s="652"/>
      <c r="B126" s="652"/>
      <c r="C126" s="652"/>
      <c r="D126" s="652"/>
      <c r="E126" s="652"/>
      <c r="F126" s="652"/>
      <c r="G126" s="652"/>
      <c r="H126" s="652"/>
      <c r="I126" s="652"/>
      <c r="J126" s="652"/>
      <c r="K126" s="652"/>
      <c r="L126" s="652"/>
      <c r="M126" s="652"/>
      <c r="N126" s="652"/>
      <c r="O126" s="652"/>
      <c r="P126" s="652"/>
      <c r="Q126" s="652"/>
      <c r="R126" s="652"/>
      <c r="S126" s="652"/>
      <c r="T126" s="652"/>
      <c r="U126" s="652"/>
      <c r="V126" s="652"/>
      <c r="W126" s="652"/>
      <c r="X126" s="652"/>
      <c r="Y126" s="652"/>
      <c r="Z126" s="652"/>
      <c r="AA126" s="652"/>
      <c r="AB126" s="652"/>
      <c r="AC126" s="652"/>
      <c r="AD126" s="652"/>
      <c r="AE126" s="709" t="str">
        <f>IFERROR(INDEX(Reit!I$8:I$64,MATCH(AF126,Reit!F$8:F$64,0)),"")</f>
        <v/>
      </c>
      <c r="AF126" s="710" t="str">
        <f t="shared" si="14"/>
        <v/>
      </c>
      <c r="AG126" s="709" t="str">
        <f>IFERROR(INDEX(Reit!I$8:I$64,MATCH(AH126,Reit!F$8:F$64,0)),"")</f>
        <v/>
      </c>
      <c r="AH126" s="710" t="str">
        <f t="shared" si="15"/>
        <v/>
      </c>
      <c r="AI126" s="709" t="str">
        <f>IFERROR(INDEX(Reit!I$8:I$64,MATCH(AJ126,Reit!F$8:F$64,0)),"")</f>
        <v/>
      </c>
      <c r="AJ126" s="710" t="str">
        <f t="shared" si="16"/>
        <v/>
      </c>
      <c r="AK126" s="709" t="str">
        <f>IFERROR(INDEX(Reit!I$8:I$64,MATCH(AL126,Reit!F$8:F$64,0)),"")</f>
        <v/>
      </c>
      <c r="AL126" s="710" t="str">
        <f t="shared" si="17"/>
        <v/>
      </c>
      <c r="AM126" s="652"/>
    </row>
    <row r="127" spans="1:39" hidden="1" x14ac:dyDescent="0.2">
      <c r="A127" s="652"/>
      <c r="B127" s="652"/>
      <c r="C127" s="652"/>
      <c r="D127" s="652"/>
      <c r="E127" s="652"/>
      <c r="F127" s="652"/>
      <c r="G127" s="652"/>
      <c r="H127" s="652"/>
      <c r="I127" s="652"/>
      <c r="J127" s="652"/>
      <c r="K127" s="652"/>
      <c r="L127" s="652"/>
      <c r="M127" s="652"/>
      <c r="N127" s="652"/>
      <c r="O127" s="652"/>
      <c r="P127" s="652"/>
      <c r="Q127" s="652"/>
      <c r="R127" s="652"/>
      <c r="S127" s="652"/>
      <c r="T127" s="652"/>
      <c r="U127" s="652"/>
      <c r="V127" s="652"/>
      <c r="W127" s="652"/>
      <c r="X127" s="652"/>
      <c r="Y127" s="652"/>
      <c r="Z127" s="652"/>
      <c r="AA127" s="652"/>
      <c r="AB127" s="652"/>
      <c r="AC127" s="652"/>
      <c r="AD127" s="652"/>
      <c r="AE127" s="709" t="str">
        <f>IFERROR(INDEX(Reit!I$8:I$64,MATCH(AF127,Reit!F$8:F$64,0)),"")</f>
        <v/>
      </c>
      <c r="AF127" s="710" t="str">
        <f t="shared" si="14"/>
        <v/>
      </c>
      <c r="AG127" s="709" t="str">
        <f>IFERROR(INDEX(Reit!I$8:I$64,MATCH(AH127,Reit!F$8:F$64,0)),"")</f>
        <v/>
      </c>
      <c r="AH127" s="710" t="str">
        <f t="shared" si="15"/>
        <v/>
      </c>
      <c r="AI127" s="709" t="str">
        <f>IFERROR(INDEX(Reit!I$8:I$64,MATCH(AJ127,Reit!F$8:F$64,0)),"")</f>
        <v/>
      </c>
      <c r="AJ127" s="710" t="str">
        <f t="shared" si="16"/>
        <v/>
      </c>
      <c r="AK127" s="709" t="str">
        <f>IFERROR(INDEX(Reit!I$8:I$64,MATCH(AL127,Reit!F$8:F$64,0)),"")</f>
        <v/>
      </c>
      <c r="AL127" s="710" t="str">
        <f t="shared" si="17"/>
        <v/>
      </c>
      <c r="AM127" s="652"/>
    </row>
    <row r="128" spans="1:39" hidden="1" x14ac:dyDescent="0.2">
      <c r="A128" s="652"/>
      <c r="B128" s="652"/>
      <c r="C128" s="652"/>
      <c r="D128" s="652"/>
      <c r="E128" s="652"/>
      <c r="F128" s="652"/>
      <c r="G128" s="652"/>
      <c r="H128" s="652"/>
      <c r="I128" s="652"/>
      <c r="J128" s="652"/>
      <c r="K128" s="652"/>
      <c r="L128" s="652"/>
      <c r="M128" s="652"/>
      <c r="N128" s="652"/>
      <c r="O128" s="652"/>
      <c r="P128" s="652"/>
      <c r="Q128" s="652"/>
      <c r="R128" s="652"/>
      <c r="S128" s="652"/>
      <c r="T128" s="652"/>
      <c r="U128" s="652"/>
      <c r="V128" s="652"/>
      <c r="W128" s="652"/>
      <c r="X128" s="652"/>
      <c r="Y128" s="652"/>
      <c r="Z128" s="652"/>
      <c r="AA128" s="652"/>
      <c r="AB128" s="652"/>
      <c r="AC128" s="652"/>
      <c r="AD128" s="652"/>
      <c r="AE128" s="709" t="str">
        <f>IFERROR(INDEX(Reit!I$8:I$64,MATCH(AF128,Reit!F$8:F$64,0)),"")</f>
        <v/>
      </c>
      <c r="AF128" s="710" t="str">
        <f t="shared" si="14"/>
        <v/>
      </c>
      <c r="AG128" s="709" t="str">
        <f>IFERROR(INDEX(Reit!I$8:I$64,MATCH(AH128,Reit!F$8:F$64,0)),"")</f>
        <v/>
      </c>
      <c r="AH128" s="710" t="str">
        <f t="shared" si="15"/>
        <v/>
      </c>
      <c r="AI128" s="709" t="str">
        <f>IFERROR(INDEX(Reit!I$8:I$64,MATCH(AJ128,Reit!F$8:F$64,0)),"")</f>
        <v/>
      </c>
      <c r="AJ128" s="710" t="str">
        <f t="shared" si="16"/>
        <v/>
      </c>
      <c r="AK128" s="709" t="str">
        <f>IFERROR(INDEX(Reit!I$8:I$64,MATCH(AL128,Reit!F$8:F$64,0)),"")</f>
        <v/>
      </c>
      <c r="AL128" s="710" t="str">
        <f t="shared" si="17"/>
        <v/>
      </c>
      <c r="AM128" s="652"/>
    </row>
    <row r="129" spans="1:39" hidden="1" x14ac:dyDescent="0.2">
      <c r="A129" s="652"/>
      <c r="B129" s="652"/>
      <c r="C129" s="652"/>
      <c r="D129" s="652"/>
      <c r="E129" s="652"/>
      <c r="F129" s="652"/>
      <c r="G129" s="652"/>
      <c r="H129" s="652"/>
      <c r="I129" s="652"/>
      <c r="J129" s="652"/>
      <c r="K129" s="652"/>
      <c r="L129" s="652"/>
      <c r="M129" s="652"/>
      <c r="N129" s="652"/>
      <c r="O129" s="652"/>
      <c r="P129" s="652"/>
      <c r="Q129" s="652"/>
      <c r="R129" s="652"/>
      <c r="S129" s="652"/>
      <c r="T129" s="652"/>
      <c r="U129" s="652"/>
      <c r="V129" s="652"/>
      <c r="W129" s="652"/>
      <c r="X129" s="652"/>
      <c r="Y129" s="652"/>
      <c r="Z129" s="652"/>
      <c r="AA129" s="652"/>
      <c r="AB129" s="652"/>
      <c r="AC129" s="652"/>
      <c r="AD129" s="652"/>
      <c r="AE129" s="709" t="str">
        <f>IFERROR(INDEX(Reit!I$8:I$64,MATCH(AF129,Reit!F$8:F$64,0)),"")</f>
        <v/>
      </c>
      <c r="AF129" s="710" t="str">
        <f t="shared" si="14"/>
        <v/>
      </c>
      <c r="AG129" s="709" t="str">
        <f>IFERROR(INDEX(Reit!I$8:I$64,MATCH(AH129,Reit!F$8:F$64,0)),"")</f>
        <v/>
      </c>
      <c r="AH129" s="710" t="str">
        <f t="shared" si="15"/>
        <v/>
      </c>
      <c r="AI129" s="709" t="str">
        <f>IFERROR(INDEX(Reit!I$8:I$64,MATCH(AJ129,Reit!F$8:F$64,0)),"")</f>
        <v/>
      </c>
      <c r="AJ129" s="710" t="str">
        <f t="shared" si="16"/>
        <v/>
      </c>
      <c r="AK129" s="709" t="str">
        <f>IFERROR(INDEX(Reit!I$8:I$64,MATCH(AL129,Reit!F$8:F$64,0)),"")</f>
        <v/>
      </c>
      <c r="AL129" s="710" t="str">
        <f t="shared" si="17"/>
        <v/>
      </c>
      <c r="AM129" s="652"/>
    </row>
    <row r="130" spans="1:39" hidden="1" x14ac:dyDescent="0.2">
      <c r="A130" s="652"/>
      <c r="B130" s="652"/>
      <c r="C130" s="652"/>
      <c r="D130" s="652"/>
      <c r="E130" s="652"/>
      <c r="F130" s="652"/>
      <c r="G130" s="652"/>
      <c r="H130" s="652"/>
      <c r="I130" s="652"/>
      <c r="J130" s="652"/>
      <c r="K130" s="652"/>
      <c r="L130" s="652"/>
      <c r="M130" s="652"/>
      <c r="N130" s="652"/>
      <c r="O130" s="652"/>
      <c r="P130" s="652"/>
      <c r="Q130" s="652"/>
      <c r="R130" s="652"/>
      <c r="S130" s="652"/>
      <c r="T130" s="652"/>
      <c r="U130" s="652"/>
      <c r="V130" s="652"/>
      <c r="W130" s="652"/>
      <c r="X130" s="652"/>
      <c r="Y130" s="652"/>
      <c r="Z130" s="652"/>
      <c r="AA130" s="652"/>
      <c r="AB130" s="652"/>
      <c r="AC130" s="652"/>
      <c r="AD130" s="652"/>
      <c r="AE130" s="709" t="str">
        <f>IFERROR(INDEX(Reit!I$8:I$64,MATCH(AF130,Reit!F$8:F$64,0)),"")</f>
        <v/>
      </c>
      <c r="AF130" s="710" t="str">
        <f t="shared" si="14"/>
        <v/>
      </c>
      <c r="AG130" s="709" t="str">
        <f>IFERROR(INDEX(Reit!I$8:I$64,MATCH(AH130,Reit!F$8:F$64,0)),"")</f>
        <v/>
      </c>
      <c r="AH130" s="710" t="str">
        <f t="shared" si="15"/>
        <v/>
      </c>
      <c r="AI130" s="709" t="str">
        <f>IFERROR(INDEX(Reit!I$8:I$64,MATCH(AJ130,Reit!F$8:F$64,0)),"")</f>
        <v/>
      </c>
      <c r="AJ130" s="710" t="str">
        <f t="shared" si="16"/>
        <v/>
      </c>
      <c r="AK130" s="709" t="str">
        <f>IFERROR(INDEX(Reit!I$8:I$64,MATCH(AL130,Reit!F$8:F$64,0)),"")</f>
        <v/>
      </c>
      <c r="AL130" s="710" t="str">
        <f t="shared" si="17"/>
        <v/>
      </c>
      <c r="AM130" s="652"/>
    </row>
    <row r="131" spans="1:39" hidden="1" x14ac:dyDescent="0.2">
      <c r="A131" s="652"/>
      <c r="B131" s="652"/>
      <c r="C131" s="652"/>
      <c r="D131" s="652"/>
      <c r="E131" s="652"/>
      <c r="F131" s="652"/>
      <c r="G131" s="652"/>
      <c r="H131" s="652"/>
      <c r="I131" s="652"/>
      <c r="J131" s="652"/>
      <c r="K131" s="652"/>
      <c r="L131" s="652"/>
      <c r="M131" s="652"/>
      <c r="N131" s="652"/>
      <c r="O131" s="652"/>
      <c r="P131" s="652"/>
      <c r="Q131" s="652"/>
      <c r="R131" s="652"/>
      <c r="S131" s="652"/>
      <c r="T131" s="652"/>
      <c r="U131" s="652"/>
      <c r="V131" s="652"/>
      <c r="W131" s="652"/>
      <c r="X131" s="652"/>
      <c r="Y131" s="652"/>
      <c r="Z131" s="652"/>
      <c r="AA131" s="652"/>
      <c r="AB131" s="652"/>
      <c r="AC131" s="652"/>
      <c r="AD131" s="652"/>
      <c r="AE131" s="709" t="str">
        <f>IFERROR(INDEX(Reit!I$8:I$64,MATCH(AF131,Reit!F$8:F$64,0)),"")</f>
        <v/>
      </c>
      <c r="AF131" s="710" t="str">
        <f t="shared" si="14"/>
        <v/>
      </c>
      <c r="AG131" s="709" t="str">
        <f>IFERROR(INDEX(Reit!I$8:I$64,MATCH(AH131,Reit!F$8:F$64,0)),"")</f>
        <v/>
      </c>
      <c r="AH131" s="710" t="str">
        <f t="shared" si="15"/>
        <v/>
      </c>
      <c r="AI131" s="709" t="str">
        <f>IFERROR(INDEX(Reit!I$8:I$64,MATCH(AJ131,Reit!F$8:F$64,0)),"")</f>
        <v/>
      </c>
      <c r="AJ131" s="710" t="str">
        <f t="shared" si="16"/>
        <v/>
      </c>
      <c r="AK131" s="709" t="str">
        <f>IFERROR(INDEX(Reit!I$8:I$64,MATCH(AL131,Reit!F$8:F$64,0)),"")</f>
        <v/>
      </c>
      <c r="AL131" s="710" t="str">
        <f t="shared" si="17"/>
        <v/>
      </c>
      <c r="AM131" s="652"/>
    </row>
    <row r="132" spans="1:39" hidden="1" x14ac:dyDescent="0.2">
      <c r="A132" s="652"/>
      <c r="B132" s="652"/>
      <c r="C132" s="652"/>
      <c r="D132" s="652"/>
      <c r="E132" s="652"/>
      <c r="F132" s="652"/>
      <c r="G132" s="652"/>
      <c r="H132" s="652"/>
      <c r="I132" s="652"/>
      <c r="J132" s="652"/>
      <c r="K132" s="652"/>
      <c r="L132" s="652"/>
      <c r="M132" s="652"/>
      <c r="N132" s="652"/>
      <c r="O132" s="652"/>
      <c r="P132" s="652"/>
      <c r="Q132" s="652"/>
      <c r="R132" s="652"/>
      <c r="S132" s="652"/>
      <c r="T132" s="652"/>
      <c r="U132" s="652"/>
      <c r="V132" s="652"/>
      <c r="W132" s="652"/>
      <c r="X132" s="652"/>
      <c r="Y132" s="652"/>
      <c r="Z132" s="652"/>
      <c r="AA132" s="652"/>
      <c r="AB132" s="652"/>
      <c r="AC132" s="652"/>
      <c r="AD132" s="652"/>
      <c r="AE132" s="709" t="str">
        <f>IFERROR(INDEX(Reit!I$8:I$64,MATCH(AF132,Reit!F$8:F$64,0)),"")</f>
        <v/>
      </c>
      <c r="AF132" s="710" t="str">
        <f t="shared" si="14"/>
        <v/>
      </c>
      <c r="AG132" s="709" t="str">
        <f>IFERROR(INDEX(Reit!I$8:I$64,MATCH(AH132,Reit!F$8:F$64,0)),"")</f>
        <v/>
      </c>
      <c r="AH132" s="710" t="str">
        <f t="shared" si="15"/>
        <v/>
      </c>
      <c r="AI132" s="709" t="str">
        <f>IFERROR(INDEX(Reit!I$8:I$64,MATCH(AJ132,Reit!F$8:F$64,0)),"")</f>
        <v/>
      </c>
      <c r="AJ132" s="710" t="str">
        <f t="shared" si="16"/>
        <v/>
      </c>
      <c r="AK132" s="709" t="str">
        <f>IFERROR(INDEX(Reit!I$8:I$64,MATCH(AL132,Reit!F$8:F$64,0)),"")</f>
        <v/>
      </c>
      <c r="AL132" s="710" t="str">
        <f t="shared" si="17"/>
        <v/>
      </c>
      <c r="AM132" s="652"/>
    </row>
    <row r="133" spans="1:39" hidden="1" x14ac:dyDescent="0.2">
      <c r="A133" s="652"/>
      <c r="B133" s="652"/>
      <c r="C133" s="652"/>
      <c r="D133" s="652"/>
      <c r="E133" s="652"/>
      <c r="F133" s="652"/>
      <c r="G133" s="652"/>
      <c r="H133" s="652"/>
      <c r="I133" s="652"/>
      <c r="J133" s="652"/>
      <c r="K133" s="652"/>
      <c r="L133" s="652"/>
      <c r="M133" s="652"/>
      <c r="N133" s="652"/>
      <c r="O133" s="652"/>
      <c r="P133" s="652"/>
      <c r="Q133" s="652"/>
      <c r="R133" s="652"/>
      <c r="S133" s="652"/>
      <c r="T133" s="652"/>
      <c r="U133" s="652"/>
      <c r="V133" s="652"/>
      <c r="W133" s="652"/>
      <c r="X133" s="652"/>
      <c r="Y133" s="652"/>
      <c r="Z133" s="652"/>
      <c r="AA133" s="652"/>
      <c r="AB133" s="652"/>
      <c r="AC133" s="652"/>
      <c r="AD133" s="652"/>
      <c r="AE133" s="709" t="str">
        <f>IFERROR(INDEX(Reit!I$8:I$64,MATCH(AF133,Reit!F$8:F$64,0)),"")</f>
        <v/>
      </c>
      <c r="AF133" s="710" t="str">
        <f t="shared" si="14"/>
        <v/>
      </c>
      <c r="AG133" s="709" t="str">
        <f>IFERROR(INDEX(Reit!I$8:I$64,MATCH(AH133,Reit!F$8:F$64,0)),"")</f>
        <v/>
      </c>
      <c r="AH133" s="710" t="str">
        <f t="shared" si="15"/>
        <v/>
      </c>
      <c r="AI133" s="709" t="str">
        <f>IFERROR(INDEX(Reit!I$8:I$64,MATCH(AJ133,Reit!F$8:F$64,0)),"")</f>
        <v/>
      </c>
      <c r="AJ133" s="710" t="str">
        <f t="shared" si="16"/>
        <v/>
      </c>
      <c r="AK133" s="709" t="str">
        <f>IFERROR(INDEX(Reit!I$8:I$64,MATCH(AL133,Reit!F$8:F$64,0)),"")</f>
        <v/>
      </c>
      <c r="AL133" s="710" t="str">
        <f t="shared" si="17"/>
        <v/>
      </c>
      <c r="AM133" s="652"/>
    </row>
    <row r="134" spans="1:39" hidden="1" x14ac:dyDescent="0.2">
      <c r="A134" s="652"/>
      <c r="B134" s="652"/>
      <c r="C134" s="652"/>
      <c r="D134" s="652"/>
      <c r="E134" s="652"/>
      <c r="F134" s="652"/>
      <c r="G134" s="652"/>
      <c r="H134" s="652"/>
      <c r="I134" s="652"/>
      <c r="J134" s="652"/>
      <c r="K134" s="652"/>
      <c r="L134" s="652"/>
      <c r="M134" s="652"/>
      <c r="N134" s="652"/>
      <c r="O134" s="652"/>
      <c r="P134" s="652"/>
      <c r="Q134" s="652"/>
      <c r="R134" s="652"/>
      <c r="S134" s="652"/>
      <c r="T134" s="652"/>
      <c r="U134" s="652"/>
      <c r="V134" s="652"/>
      <c r="W134" s="652"/>
      <c r="X134" s="652"/>
      <c r="Y134" s="652"/>
      <c r="Z134" s="652"/>
      <c r="AA134" s="652"/>
      <c r="AB134" s="652"/>
      <c r="AC134" s="652"/>
      <c r="AD134" s="652"/>
      <c r="AE134" s="709" t="str">
        <f>IFERROR(INDEX(Reit!I$8:I$64,MATCH(AF134,Reit!F$8:F$64,0)),"")</f>
        <v/>
      </c>
      <c r="AF134" s="710" t="str">
        <f t="shared" si="14"/>
        <v/>
      </c>
      <c r="AG134" s="709" t="str">
        <f>IFERROR(INDEX(Reit!I$8:I$64,MATCH(AH134,Reit!F$8:F$64,0)),"")</f>
        <v/>
      </c>
      <c r="AH134" s="710" t="str">
        <f t="shared" si="15"/>
        <v/>
      </c>
      <c r="AI134" s="709" t="str">
        <f>IFERROR(INDEX(Reit!I$8:I$64,MATCH(AJ134,Reit!F$8:F$64,0)),"")</f>
        <v/>
      </c>
      <c r="AJ134" s="710" t="str">
        <f t="shared" si="16"/>
        <v/>
      </c>
      <c r="AK134" s="709" t="str">
        <f>IFERROR(INDEX(Reit!I$8:I$64,MATCH(AL134,Reit!F$8:F$64,0)),"")</f>
        <v/>
      </c>
      <c r="AL134" s="710" t="str">
        <f t="shared" si="17"/>
        <v/>
      </c>
      <c r="AM134" s="652"/>
    </row>
    <row r="135" spans="1:39" hidden="1" x14ac:dyDescent="0.2">
      <c r="A135" s="652"/>
      <c r="B135" s="652"/>
      <c r="C135" s="652"/>
      <c r="D135" s="652"/>
      <c r="E135" s="652"/>
      <c r="F135" s="652"/>
      <c r="G135" s="652"/>
      <c r="H135" s="652"/>
      <c r="I135" s="652"/>
      <c r="J135" s="652"/>
      <c r="K135" s="652"/>
      <c r="L135" s="657"/>
      <c r="M135" s="657"/>
      <c r="N135" s="657"/>
      <c r="O135" s="652"/>
      <c r="P135" s="652"/>
      <c r="Q135" s="652"/>
      <c r="R135" s="652"/>
      <c r="S135" s="652"/>
      <c r="T135" s="657"/>
      <c r="U135" s="657"/>
      <c r="V135" s="657"/>
      <c r="W135" s="652"/>
      <c r="X135" s="652"/>
      <c r="Y135" s="652"/>
      <c r="Z135" s="652"/>
      <c r="AA135" s="652"/>
      <c r="AB135" s="652"/>
      <c r="AC135" s="652"/>
      <c r="AD135" s="652"/>
      <c r="AE135" s="709" t="str">
        <f>IFERROR(INDEX(Reit!I$8:I$64,MATCH(AF135,Reit!F$8:F$64,0)),"")</f>
        <v/>
      </c>
      <c r="AF135" s="710" t="str">
        <f t="shared" si="14"/>
        <v/>
      </c>
      <c r="AG135" s="709" t="str">
        <f>IFERROR(INDEX(Reit!I$8:I$64,MATCH(AH135,Reit!F$8:F$64,0)),"")</f>
        <v/>
      </c>
      <c r="AH135" s="710" t="str">
        <f t="shared" si="15"/>
        <v/>
      </c>
      <c r="AI135" s="709" t="str">
        <f>IFERROR(INDEX(Reit!I$8:I$64,MATCH(AJ135,Reit!F$8:F$64,0)),"")</f>
        <v/>
      </c>
      <c r="AJ135" s="710" t="str">
        <f t="shared" si="16"/>
        <v/>
      </c>
      <c r="AK135" s="709" t="str">
        <f>IFERROR(INDEX(Reit!I$8:I$64,MATCH(AL135,Reit!F$8:F$64,0)),"")</f>
        <v/>
      </c>
      <c r="AL135" s="710" t="str">
        <f t="shared" si="17"/>
        <v/>
      </c>
      <c r="AM135" s="652"/>
    </row>
    <row r="136" spans="1:39" hidden="1" x14ac:dyDescent="0.2">
      <c r="A136" s="652"/>
      <c r="B136" s="652"/>
      <c r="C136" s="652"/>
      <c r="D136" s="652"/>
      <c r="E136" s="652"/>
      <c r="F136" s="652"/>
      <c r="G136" s="652"/>
      <c r="H136" s="652"/>
      <c r="I136" s="652"/>
      <c r="J136" s="652"/>
      <c r="K136" s="652"/>
      <c r="L136" s="657"/>
      <c r="M136" s="657"/>
      <c r="N136" s="657"/>
      <c r="O136" s="652"/>
      <c r="P136" s="652"/>
      <c r="Q136" s="652"/>
      <c r="R136" s="652"/>
      <c r="S136" s="652"/>
      <c r="T136" s="657"/>
      <c r="U136" s="657"/>
      <c r="V136" s="657"/>
      <c r="W136" s="652"/>
      <c r="X136" s="652"/>
      <c r="Y136" s="652"/>
      <c r="Z136" s="652"/>
      <c r="AA136" s="652"/>
      <c r="AB136" s="652"/>
      <c r="AC136" s="652"/>
      <c r="AD136" s="652"/>
      <c r="AE136" s="709" t="str">
        <f>IFERROR(INDEX(Reit!I$8:I$64,MATCH(AF136,Reit!F$8:F$64,0)),"")</f>
        <v/>
      </c>
      <c r="AF136" s="710" t="str">
        <f t="shared" si="14"/>
        <v/>
      </c>
      <c r="AG136" s="709" t="str">
        <f>IFERROR(INDEX(Reit!I$8:I$64,MATCH(AH136,Reit!F$8:F$64,0)),"")</f>
        <v/>
      </c>
      <c r="AH136" s="710" t="str">
        <f t="shared" si="15"/>
        <v/>
      </c>
      <c r="AI136" s="709" t="str">
        <f>IFERROR(INDEX(Reit!I$8:I$64,MATCH(AJ136,Reit!F$8:F$64,0)),"")</f>
        <v/>
      </c>
      <c r="AJ136" s="710" t="str">
        <f t="shared" si="16"/>
        <v/>
      </c>
      <c r="AK136" s="709" t="str">
        <f>IFERROR(INDEX(Reit!I$8:I$64,MATCH(AL136,Reit!F$8:F$64,0)),"")</f>
        <v/>
      </c>
      <c r="AL136" s="710" t="str">
        <f t="shared" si="17"/>
        <v/>
      </c>
      <c r="AM136" s="652"/>
    </row>
    <row r="137" spans="1:39" hidden="1" x14ac:dyDescent="0.2">
      <c r="A137" s="652"/>
      <c r="B137" s="652"/>
      <c r="C137" s="652"/>
      <c r="D137" s="652"/>
      <c r="E137" s="652"/>
      <c r="F137" s="652"/>
      <c r="G137" s="652"/>
      <c r="H137" s="652"/>
      <c r="I137" s="652"/>
      <c r="J137" s="652"/>
      <c r="K137" s="652"/>
      <c r="L137" s="657"/>
      <c r="M137" s="657"/>
      <c r="N137" s="657"/>
      <c r="O137" s="652"/>
      <c r="P137" s="652"/>
      <c r="Q137" s="652"/>
      <c r="R137" s="652"/>
      <c r="S137" s="652"/>
      <c r="T137" s="657"/>
      <c r="U137" s="657"/>
      <c r="V137" s="657"/>
      <c r="W137" s="652"/>
      <c r="X137" s="652"/>
      <c r="Y137" s="652"/>
      <c r="Z137" s="652"/>
      <c r="AA137" s="652"/>
      <c r="AB137" s="652"/>
      <c r="AC137" s="652"/>
      <c r="AD137" s="652"/>
      <c r="AE137" s="709" t="str">
        <f>IFERROR(INDEX(Reit!I$8:I$64,MATCH(AF137,Reit!F$8:F$64,0)),"")</f>
        <v/>
      </c>
      <c r="AF137" s="710" t="str">
        <f t="shared" ref="AF137:AF200" si="18">IFERROR(LEFT(B137,(FIND(",",B137,1)-1)),"")</f>
        <v/>
      </c>
      <c r="AG137" s="709" t="str">
        <f>IFERROR(INDEX(Reit!I$8:I$64,MATCH(AH137,Reit!F$8:F$64,0)),"")</f>
        <v/>
      </c>
      <c r="AH137" s="710" t="str">
        <f t="shared" ref="AH137:AH200" si="19">IFERROR(MID(B137,FIND(", ",B137)+2,256),"")</f>
        <v/>
      </c>
      <c r="AI137" s="709" t="str">
        <f>IFERROR(INDEX(Reit!I$8:I$64,MATCH(AJ137,Reit!F$8:F$64,0)),"")</f>
        <v/>
      </c>
      <c r="AJ137" s="710" t="str">
        <f t="shared" ref="AJ137:AJ200" si="20">IFERROR(MID(B137,FIND("^",SUBSTITUTE(B137,", ","^",1))+2,FIND("^",SUBSTITUTE(B137,", ","^",2))-FIND("^",SUBSTITUTE(B137,", ","^",1))-2),"")</f>
        <v/>
      </c>
      <c r="AK137" s="709" t="str">
        <f>IFERROR(INDEX(Reit!I$8:I$64,MATCH(AL137,Reit!F$8:F$64,0)),"")</f>
        <v/>
      </c>
      <c r="AL137" s="710" t="str">
        <f t="shared" ref="AL137:AL200" si="21">IFERROR(MID(B137,FIND(", ",B137,FIND(", ",B137,FIND(", ",B137))+1)+2,700),"")</f>
        <v/>
      </c>
      <c r="AM137" s="652"/>
    </row>
    <row r="138" spans="1:39" hidden="1" x14ac:dyDescent="0.2">
      <c r="A138" s="652"/>
      <c r="B138" s="652"/>
      <c r="C138" s="652"/>
      <c r="D138" s="652"/>
      <c r="E138" s="652"/>
      <c r="F138" s="652"/>
      <c r="G138" s="652"/>
      <c r="H138" s="652"/>
      <c r="I138" s="652"/>
      <c r="J138" s="652"/>
      <c r="K138" s="652"/>
      <c r="L138" s="657"/>
      <c r="M138" s="657"/>
      <c r="N138" s="657"/>
      <c r="O138" s="652"/>
      <c r="P138" s="652"/>
      <c r="Q138" s="652"/>
      <c r="R138" s="652"/>
      <c r="S138" s="652"/>
      <c r="T138" s="657"/>
      <c r="U138" s="657"/>
      <c r="V138" s="657"/>
      <c r="W138" s="652"/>
      <c r="X138" s="652"/>
      <c r="Y138" s="652"/>
      <c r="Z138" s="652"/>
      <c r="AA138" s="652"/>
      <c r="AB138" s="652"/>
      <c r="AC138" s="652"/>
      <c r="AD138" s="652"/>
      <c r="AE138" s="709" t="str">
        <f>IFERROR(INDEX(Reit!I$8:I$64,MATCH(AF138,Reit!F$8:F$64,0)),"")</f>
        <v/>
      </c>
      <c r="AF138" s="710" t="str">
        <f t="shared" si="18"/>
        <v/>
      </c>
      <c r="AG138" s="709" t="str">
        <f>IFERROR(INDEX(Reit!I$8:I$64,MATCH(AH138,Reit!F$8:F$64,0)),"")</f>
        <v/>
      </c>
      <c r="AH138" s="710" t="str">
        <f t="shared" si="19"/>
        <v/>
      </c>
      <c r="AI138" s="709" t="str">
        <f>IFERROR(INDEX(Reit!I$8:I$64,MATCH(AJ138,Reit!F$8:F$64,0)),"")</f>
        <v/>
      </c>
      <c r="AJ138" s="710" t="str">
        <f t="shared" si="20"/>
        <v/>
      </c>
      <c r="AK138" s="709" t="str">
        <f>IFERROR(INDEX(Reit!I$8:I$64,MATCH(AL138,Reit!F$8:F$64,0)),"")</f>
        <v/>
      </c>
      <c r="AL138" s="710" t="str">
        <f t="shared" si="21"/>
        <v/>
      </c>
      <c r="AM138" s="652"/>
    </row>
    <row r="139" spans="1:39" hidden="1" x14ac:dyDescent="0.2">
      <c r="A139" s="652"/>
      <c r="B139" s="652"/>
      <c r="C139" s="652"/>
      <c r="D139" s="652"/>
      <c r="E139" s="652"/>
      <c r="F139" s="652"/>
      <c r="G139" s="652"/>
      <c r="H139" s="652"/>
      <c r="I139" s="652"/>
      <c r="J139" s="652"/>
      <c r="K139" s="652"/>
      <c r="L139" s="657"/>
      <c r="M139" s="657"/>
      <c r="N139" s="657"/>
      <c r="O139" s="652"/>
      <c r="P139" s="652"/>
      <c r="Q139" s="652"/>
      <c r="R139" s="652"/>
      <c r="S139" s="652"/>
      <c r="T139" s="657"/>
      <c r="U139" s="657"/>
      <c r="V139" s="657"/>
      <c r="W139" s="652"/>
      <c r="X139" s="652"/>
      <c r="Y139" s="652"/>
      <c r="Z139" s="652"/>
      <c r="AA139" s="652"/>
      <c r="AB139" s="652"/>
      <c r="AC139" s="652"/>
      <c r="AD139" s="652"/>
      <c r="AE139" s="709" t="str">
        <f>IFERROR(INDEX(Reit!I$8:I$64,MATCH(AF139,Reit!F$8:F$64,0)),"")</f>
        <v/>
      </c>
      <c r="AF139" s="710" t="str">
        <f t="shared" si="18"/>
        <v/>
      </c>
      <c r="AG139" s="709" t="str">
        <f>IFERROR(INDEX(Reit!I$8:I$64,MATCH(AH139,Reit!F$8:F$64,0)),"")</f>
        <v/>
      </c>
      <c r="AH139" s="710" t="str">
        <f t="shared" si="19"/>
        <v/>
      </c>
      <c r="AI139" s="709" t="str">
        <f>IFERROR(INDEX(Reit!I$8:I$64,MATCH(AJ139,Reit!F$8:F$64,0)),"")</f>
        <v/>
      </c>
      <c r="AJ139" s="710" t="str">
        <f t="shared" si="20"/>
        <v/>
      </c>
      <c r="AK139" s="709" t="str">
        <f>IFERROR(INDEX(Reit!I$8:I$64,MATCH(AL139,Reit!F$8:F$64,0)),"")</f>
        <v/>
      </c>
      <c r="AL139" s="710" t="str">
        <f t="shared" si="21"/>
        <v/>
      </c>
      <c r="AM139" s="652"/>
    </row>
    <row r="140" spans="1:39" hidden="1" x14ac:dyDescent="0.2">
      <c r="A140" s="652"/>
      <c r="B140" s="652"/>
      <c r="C140" s="652"/>
      <c r="D140" s="652"/>
      <c r="E140" s="652"/>
      <c r="F140" s="652"/>
      <c r="G140" s="652"/>
      <c r="H140" s="652"/>
      <c r="I140" s="652"/>
      <c r="J140" s="652"/>
      <c r="K140" s="652"/>
      <c r="L140" s="657"/>
      <c r="M140" s="657"/>
      <c r="N140" s="657"/>
      <c r="O140" s="652"/>
      <c r="P140" s="652"/>
      <c r="Q140" s="652"/>
      <c r="R140" s="652"/>
      <c r="S140" s="652"/>
      <c r="T140" s="657"/>
      <c r="U140" s="657"/>
      <c r="V140" s="657"/>
      <c r="W140" s="652"/>
      <c r="X140" s="652"/>
      <c r="Y140" s="652"/>
      <c r="Z140" s="652"/>
      <c r="AA140" s="652"/>
      <c r="AB140" s="652"/>
      <c r="AC140" s="652"/>
      <c r="AD140" s="652"/>
      <c r="AE140" s="709" t="str">
        <f>IFERROR(INDEX(Reit!I$8:I$64,MATCH(AF140,Reit!F$8:F$64,0)),"")</f>
        <v/>
      </c>
      <c r="AF140" s="710" t="str">
        <f t="shared" si="18"/>
        <v/>
      </c>
      <c r="AG140" s="709" t="str">
        <f>IFERROR(INDEX(Reit!I$8:I$64,MATCH(AH140,Reit!F$8:F$64,0)),"")</f>
        <v/>
      </c>
      <c r="AH140" s="710" t="str">
        <f t="shared" si="19"/>
        <v/>
      </c>
      <c r="AI140" s="709" t="str">
        <f>IFERROR(INDEX(Reit!I$8:I$64,MATCH(AJ140,Reit!F$8:F$64,0)),"")</f>
        <v/>
      </c>
      <c r="AJ140" s="710" t="str">
        <f t="shared" si="20"/>
        <v/>
      </c>
      <c r="AK140" s="709" t="str">
        <f>IFERROR(INDEX(Reit!I$8:I$64,MATCH(AL140,Reit!F$8:F$64,0)),"")</f>
        <v/>
      </c>
      <c r="AL140" s="710" t="str">
        <f t="shared" si="21"/>
        <v/>
      </c>
      <c r="AM140" s="652"/>
    </row>
    <row r="141" spans="1:39" hidden="1" x14ac:dyDescent="0.2">
      <c r="A141" s="652"/>
      <c r="B141" s="652"/>
      <c r="C141" s="652"/>
      <c r="D141" s="652"/>
      <c r="E141" s="652"/>
      <c r="F141" s="652"/>
      <c r="G141" s="652"/>
      <c r="H141" s="652"/>
      <c r="I141" s="652"/>
      <c r="J141" s="652"/>
      <c r="K141" s="652"/>
      <c r="L141" s="657"/>
      <c r="M141" s="657"/>
      <c r="N141" s="657"/>
      <c r="O141" s="652"/>
      <c r="P141" s="652"/>
      <c r="Q141" s="652"/>
      <c r="R141" s="652"/>
      <c r="S141" s="652"/>
      <c r="T141" s="657"/>
      <c r="U141" s="657"/>
      <c r="V141" s="657"/>
      <c r="W141" s="652"/>
      <c r="X141" s="652"/>
      <c r="Y141" s="652"/>
      <c r="Z141" s="652"/>
      <c r="AA141" s="652"/>
      <c r="AB141" s="652"/>
      <c r="AC141" s="652"/>
      <c r="AD141" s="652"/>
      <c r="AE141" s="709" t="str">
        <f>IFERROR(INDEX(Reit!I$8:I$64,MATCH(AF141,Reit!F$8:F$64,0)),"")</f>
        <v/>
      </c>
      <c r="AF141" s="710" t="str">
        <f t="shared" si="18"/>
        <v/>
      </c>
      <c r="AG141" s="709" t="str">
        <f>IFERROR(INDEX(Reit!I$8:I$64,MATCH(AH141,Reit!F$8:F$64,0)),"")</f>
        <v/>
      </c>
      <c r="AH141" s="710" t="str">
        <f t="shared" si="19"/>
        <v/>
      </c>
      <c r="AI141" s="709" t="str">
        <f>IFERROR(INDEX(Reit!I$8:I$64,MATCH(AJ141,Reit!F$8:F$64,0)),"")</f>
        <v/>
      </c>
      <c r="AJ141" s="710" t="str">
        <f t="shared" si="20"/>
        <v/>
      </c>
      <c r="AK141" s="709" t="str">
        <f>IFERROR(INDEX(Reit!I$8:I$64,MATCH(AL141,Reit!F$8:F$64,0)),"")</f>
        <v/>
      </c>
      <c r="AL141" s="710" t="str">
        <f t="shared" si="21"/>
        <v/>
      </c>
      <c r="AM141" s="652"/>
    </row>
    <row r="142" spans="1:39" hidden="1" x14ac:dyDescent="0.2">
      <c r="A142" s="652"/>
      <c r="B142" s="652"/>
      <c r="C142" s="652"/>
      <c r="D142" s="652"/>
      <c r="E142" s="652"/>
      <c r="F142" s="652"/>
      <c r="G142" s="652"/>
      <c r="H142" s="652"/>
      <c r="I142" s="652"/>
      <c r="J142" s="652"/>
      <c r="K142" s="652"/>
      <c r="L142" s="657"/>
      <c r="M142" s="657"/>
      <c r="N142" s="657"/>
      <c r="O142" s="652"/>
      <c r="P142" s="652"/>
      <c r="Q142" s="652"/>
      <c r="R142" s="652"/>
      <c r="S142" s="652"/>
      <c r="T142" s="657"/>
      <c r="U142" s="657"/>
      <c r="V142" s="657"/>
      <c r="W142" s="652"/>
      <c r="X142" s="652"/>
      <c r="Y142" s="652"/>
      <c r="Z142" s="652"/>
      <c r="AA142" s="652"/>
      <c r="AB142" s="652"/>
      <c r="AC142" s="652"/>
      <c r="AD142" s="652"/>
      <c r="AE142" s="709" t="str">
        <f>IFERROR(INDEX(Reit!I$8:I$64,MATCH(AF142,Reit!F$8:F$64,0)),"")</f>
        <v/>
      </c>
      <c r="AF142" s="710" t="str">
        <f t="shared" si="18"/>
        <v/>
      </c>
      <c r="AG142" s="709" t="str">
        <f>IFERROR(INDEX(Reit!I$8:I$64,MATCH(AH142,Reit!F$8:F$64,0)),"")</f>
        <v/>
      </c>
      <c r="AH142" s="710" t="str">
        <f t="shared" si="19"/>
        <v/>
      </c>
      <c r="AI142" s="709" t="str">
        <f>IFERROR(INDEX(Reit!I$8:I$64,MATCH(AJ142,Reit!F$8:F$64,0)),"")</f>
        <v/>
      </c>
      <c r="AJ142" s="710" t="str">
        <f t="shared" si="20"/>
        <v/>
      </c>
      <c r="AK142" s="709" t="str">
        <f>IFERROR(INDEX(Reit!I$8:I$64,MATCH(AL142,Reit!F$8:F$64,0)),"")</f>
        <v/>
      </c>
      <c r="AL142" s="710" t="str">
        <f t="shared" si="21"/>
        <v/>
      </c>
      <c r="AM142" s="652"/>
    </row>
    <row r="143" spans="1:39" hidden="1" x14ac:dyDescent="0.2">
      <c r="A143" s="652"/>
      <c r="B143" s="652"/>
      <c r="C143" s="652"/>
      <c r="D143" s="652"/>
      <c r="E143" s="652"/>
      <c r="F143" s="652"/>
      <c r="G143" s="652"/>
      <c r="H143" s="652"/>
      <c r="I143" s="652"/>
      <c r="J143" s="652"/>
      <c r="K143" s="652"/>
      <c r="L143" s="657"/>
      <c r="M143" s="657"/>
      <c r="N143" s="657"/>
      <c r="O143" s="652"/>
      <c r="P143" s="652"/>
      <c r="Q143" s="652"/>
      <c r="R143" s="652"/>
      <c r="S143" s="652"/>
      <c r="T143" s="657"/>
      <c r="U143" s="657"/>
      <c r="V143" s="657"/>
      <c r="W143" s="652"/>
      <c r="X143" s="652"/>
      <c r="Y143" s="652"/>
      <c r="Z143" s="652"/>
      <c r="AA143" s="652"/>
      <c r="AB143" s="652"/>
      <c r="AC143" s="652"/>
      <c r="AD143" s="652"/>
      <c r="AE143" s="709" t="str">
        <f>IFERROR(INDEX(Reit!I$8:I$64,MATCH(AF143,Reit!F$8:F$64,0)),"")</f>
        <v/>
      </c>
      <c r="AF143" s="710" t="str">
        <f t="shared" si="18"/>
        <v/>
      </c>
      <c r="AG143" s="709" t="str">
        <f>IFERROR(INDEX(Reit!I$8:I$64,MATCH(AH143,Reit!F$8:F$64,0)),"")</f>
        <v/>
      </c>
      <c r="AH143" s="710" t="str">
        <f t="shared" si="19"/>
        <v/>
      </c>
      <c r="AI143" s="709" t="str">
        <f>IFERROR(INDEX(Reit!I$8:I$64,MATCH(AJ143,Reit!F$8:F$64,0)),"")</f>
        <v/>
      </c>
      <c r="AJ143" s="710" t="str">
        <f t="shared" si="20"/>
        <v/>
      </c>
      <c r="AK143" s="709" t="str">
        <f>IFERROR(INDEX(Reit!I$8:I$64,MATCH(AL143,Reit!F$8:F$64,0)),"")</f>
        <v/>
      </c>
      <c r="AL143" s="710" t="str">
        <f t="shared" si="21"/>
        <v/>
      </c>
      <c r="AM143" s="652"/>
    </row>
    <row r="144" spans="1:39" hidden="1" x14ac:dyDescent="0.2">
      <c r="A144" s="652"/>
      <c r="B144" s="652"/>
      <c r="C144" s="652"/>
      <c r="D144" s="652"/>
      <c r="E144" s="652"/>
      <c r="F144" s="652"/>
      <c r="G144" s="652"/>
      <c r="H144" s="652"/>
      <c r="I144" s="652"/>
      <c r="J144" s="652"/>
      <c r="K144" s="652"/>
      <c r="L144" s="657"/>
      <c r="M144" s="657"/>
      <c r="N144" s="657"/>
      <c r="O144" s="652"/>
      <c r="P144" s="652"/>
      <c r="Q144" s="652"/>
      <c r="R144" s="652"/>
      <c r="S144" s="652"/>
      <c r="T144" s="657"/>
      <c r="U144" s="657"/>
      <c r="V144" s="657"/>
      <c r="W144" s="652"/>
      <c r="X144" s="652"/>
      <c r="Y144" s="652"/>
      <c r="Z144" s="652"/>
      <c r="AA144" s="652"/>
      <c r="AB144" s="652"/>
      <c r="AC144" s="652"/>
      <c r="AD144" s="652"/>
      <c r="AE144" s="709" t="str">
        <f>IFERROR(INDEX(Reit!I$8:I$64,MATCH(AF144,Reit!F$8:F$64,0)),"")</f>
        <v/>
      </c>
      <c r="AF144" s="710" t="str">
        <f t="shared" si="18"/>
        <v/>
      </c>
      <c r="AG144" s="709" t="str">
        <f>IFERROR(INDEX(Reit!I$8:I$64,MATCH(AH144,Reit!F$8:F$64,0)),"")</f>
        <v/>
      </c>
      <c r="AH144" s="710" t="str">
        <f t="shared" si="19"/>
        <v/>
      </c>
      <c r="AI144" s="709" t="str">
        <f>IFERROR(INDEX(Reit!I$8:I$64,MATCH(AJ144,Reit!F$8:F$64,0)),"")</f>
        <v/>
      </c>
      <c r="AJ144" s="710" t="str">
        <f t="shared" si="20"/>
        <v/>
      </c>
      <c r="AK144" s="709" t="str">
        <f>IFERROR(INDEX(Reit!I$8:I$64,MATCH(AL144,Reit!F$8:F$64,0)),"")</f>
        <v/>
      </c>
      <c r="AL144" s="710" t="str">
        <f t="shared" si="21"/>
        <v/>
      </c>
      <c r="AM144" s="652"/>
    </row>
    <row r="145" spans="1:39" hidden="1" x14ac:dyDescent="0.2">
      <c r="A145" s="652"/>
      <c r="B145" s="652"/>
      <c r="C145" s="652"/>
      <c r="D145" s="652"/>
      <c r="E145" s="652"/>
      <c r="F145" s="652"/>
      <c r="G145" s="652"/>
      <c r="H145" s="652"/>
      <c r="I145" s="652"/>
      <c r="J145" s="652"/>
      <c r="K145" s="652"/>
      <c r="L145" s="657"/>
      <c r="M145" s="657"/>
      <c r="N145" s="657"/>
      <c r="O145" s="652"/>
      <c r="P145" s="652"/>
      <c r="Q145" s="652"/>
      <c r="R145" s="652"/>
      <c r="S145" s="652"/>
      <c r="T145" s="657"/>
      <c r="U145" s="657"/>
      <c r="V145" s="657"/>
      <c r="W145" s="652"/>
      <c r="X145" s="652"/>
      <c r="Y145" s="652"/>
      <c r="Z145" s="652"/>
      <c r="AA145" s="652"/>
      <c r="AB145" s="652"/>
      <c r="AC145" s="652"/>
      <c r="AD145" s="652"/>
      <c r="AE145" s="709" t="str">
        <f>IFERROR(INDEX(Reit!I$8:I$64,MATCH(AF145,Reit!F$8:F$64,0)),"")</f>
        <v/>
      </c>
      <c r="AF145" s="710" t="str">
        <f t="shared" si="18"/>
        <v/>
      </c>
      <c r="AG145" s="709" t="str">
        <f>IFERROR(INDEX(Reit!I$8:I$64,MATCH(AH145,Reit!F$8:F$64,0)),"")</f>
        <v/>
      </c>
      <c r="AH145" s="710" t="str">
        <f t="shared" si="19"/>
        <v/>
      </c>
      <c r="AI145" s="709" t="str">
        <f>IFERROR(INDEX(Reit!I$8:I$64,MATCH(AJ145,Reit!F$8:F$64,0)),"")</f>
        <v/>
      </c>
      <c r="AJ145" s="710" t="str">
        <f t="shared" si="20"/>
        <v/>
      </c>
      <c r="AK145" s="709" t="str">
        <f>IFERROR(INDEX(Reit!I$8:I$64,MATCH(AL145,Reit!F$8:F$64,0)),"")</f>
        <v/>
      </c>
      <c r="AL145" s="710" t="str">
        <f t="shared" si="21"/>
        <v/>
      </c>
      <c r="AM145" s="652"/>
    </row>
    <row r="146" spans="1:39" hidden="1" x14ac:dyDescent="0.2">
      <c r="A146" s="652"/>
      <c r="B146" s="652"/>
      <c r="C146" s="652"/>
      <c r="D146" s="652"/>
      <c r="E146" s="652"/>
      <c r="F146" s="652"/>
      <c r="G146" s="652"/>
      <c r="H146" s="652"/>
      <c r="I146" s="652"/>
      <c r="J146" s="652"/>
      <c r="K146" s="652"/>
      <c r="L146" s="657"/>
      <c r="M146" s="657"/>
      <c r="N146" s="657"/>
      <c r="O146" s="652"/>
      <c r="P146" s="652"/>
      <c r="Q146" s="652"/>
      <c r="R146" s="652"/>
      <c r="S146" s="652"/>
      <c r="T146" s="657"/>
      <c r="U146" s="657"/>
      <c r="V146" s="657"/>
      <c r="W146" s="652"/>
      <c r="X146" s="652"/>
      <c r="Y146" s="652"/>
      <c r="Z146" s="652"/>
      <c r="AA146" s="652"/>
      <c r="AB146" s="652"/>
      <c r="AC146" s="652"/>
      <c r="AD146" s="652"/>
      <c r="AE146" s="709" t="str">
        <f>IFERROR(INDEX(Reit!I$8:I$64,MATCH(AF146,Reit!F$8:F$64,0)),"")</f>
        <v/>
      </c>
      <c r="AF146" s="710" t="str">
        <f t="shared" si="18"/>
        <v/>
      </c>
      <c r="AG146" s="709" t="str">
        <f>IFERROR(INDEX(Reit!I$8:I$64,MATCH(AH146,Reit!F$8:F$64,0)),"")</f>
        <v/>
      </c>
      <c r="AH146" s="710" t="str">
        <f t="shared" si="19"/>
        <v/>
      </c>
      <c r="AI146" s="709" t="str">
        <f>IFERROR(INDEX(Reit!I$8:I$64,MATCH(AJ146,Reit!F$8:F$64,0)),"")</f>
        <v/>
      </c>
      <c r="AJ146" s="710" t="str">
        <f t="shared" si="20"/>
        <v/>
      </c>
      <c r="AK146" s="709" t="str">
        <f>IFERROR(INDEX(Reit!I$8:I$64,MATCH(AL146,Reit!F$8:F$64,0)),"")</f>
        <v/>
      </c>
      <c r="AL146" s="710" t="str">
        <f t="shared" si="21"/>
        <v/>
      </c>
      <c r="AM146" s="652"/>
    </row>
    <row r="147" spans="1:39" hidden="1" x14ac:dyDescent="0.2">
      <c r="A147" s="652"/>
      <c r="B147" s="652"/>
      <c r="C147" s="652"/>
      <c r="D147" s="652"/>
      <c r="E147" s="652"/>
      <c r="F147" s="652"/>
      <c r="G147" s="652"/>
      <c r="H147" s="652"/>
      <c r="I147" s="652"/>
      <c r="J147" s="652"/>
      <c r="K147" s="652"/>
      <c r="L147" s="657"/>
      <c r="M147" s="657"/>
      <c r="N147" s="657"/>
      <c r="O147" s="652"/>
      <c r="P147" s="652"/>
      <c r="Q147" s="652"/>
      <c r="R147" s="652"/>
      <c r="S147" s="652"/>
      <c r="T147" s="657"/>
      <c r="U147" s="657"/>
      <c r="V147" s="657"/>
      <c r="W147" s="652"/>
      <c r="X147" s="652"/>
      <c r="Y147" s="652"/>
      <c r="Z147" s="652"/>
      <c r="AA147" s="652"/>
      <c r="AB147" s="652"/>
      <c r="AC147" s="652"/>
      <c r="AD147" s="652"/>
      <c r="AE147" s="709" t="str">
        <f>IFERROR(INDEX(Reit!I$8:I$64,MATCH(AF147,Reit!F$8:F$64,0)),"")</f>
        <v/>
      </c>
      <c r="AF147" s="710" t="str">
        <f t="shared" si="18"/>
        <v/>
      </c>
      <c r="AG147" s="709" t="str">
        <f>IFERROR(INDEX(Reit!I$8:I$64,MATCH(AH147,Reit!F$8:F$64,0)),"")</f>
        <v/>
      </c>
      <c r="AH147" s="710" t="str">
        <f t="shared" si="19"/>
        <v/>
      </c>
      <c r="AI147" s="709" t="str">
        <f>IFERROR(INDEX(Reit!I$8:I$64,MATCH(AJ147,Reit!F$8:F$64,0)),"")</f>
        <v/>
      </c>
      <c r="AJ147" s="710" t="str">
        <f t="shared" si="20"/>
        <v/>
      </c>
      <c r="AK147" s="709" t="str">
        <f>IFERROR(INDEX(Reit!I$8:I$64,MATCH(AL147,Reit!F$8:F$64,0)),"")</f>
        <v/>
      </c>
      <c r="AL147" s="710" t="str">
        <f t="shared" si="21"/>
        <v/>
      </c>
      <c r="AM147" s="652"/>
    </row>
    <row r="148" spans="1:39" hidden="1" x14ac:dyDescent="0.2">
      <c r="A148" s="652"/>
      <c r="B148" s="652"/>
      <c r="C148" s="652"/>
      <c r="D148" s="652"/>
      <c r="E148" s="652"/>
      <c r="F148" s="652"/>
      <c r="G148" s="652"/>
      <c r="H148" s="652"/>
      <c r="I148" s="652"/>
      <c r="J148" s="652"/>
      <c r="K148" s="652"/>
      <c r="L148" s="657"/>
      <c r="M148" s="657"/>
      <c r="N148" s="657"/>
      <c r="O148" s="652"/>
      <c r="P148" s="652"/>
      <c r="Q148" s="652"/>
      <c r="R148" s="652"/>
      <c r="S148" s="652"/>
      <c r="T148" s="657"/>
      <c r="U148" s="657"/>
      <c r="V148" s="657"/>
      <c r="W148" s="652"/>
      <c r="X148" s="652"/>
      <c r="Y148" s="652"/>
      <c r="Z148" s="652"/>
      <c r="AA148" s="652"/>
      <c r="AB148" s="652"/>
      <c r="AC148" s="652"/>
      <c r="AD148" s="652"/>
      <c r="AE148" s="709" t="str">
        <f>IFERROR(INDEX(Reit!I$8:I$64,MATCH(AF148,Reit!F$8:F$64,0)),"")</f>
        <v/>
      </c>
      <c r="AF148" s="710" t="str">
        <f t="shared" si="18"/>
        <v/>
      </c>
      <c r="AG148" s="709" t="str">
        <f>IFERROR(INDEX(Reit!I$8:I$64,MATCH(AH148,Reit!F$8:F$64,0)),"")</f>
        <v/>
      </c>
      <c r="AH148" s="710" t="str">
        <f t="shared" si="19"/>
        <v/>
      </c>
      <c r="AI148" s="709" t="str">
        <f>IFERROR(INDEX(Reit!I$8:I$64,MATCH(AJ148,Reit!F$8:F$64,0)),"")</f>
        <v/>
      </c>
      <c r="AJ148" s="710" t="str">
        <f t="shared" si="20"/>
        <v/>
      </c>
      <c r="AK148" s="709" t="str">
        <f>IFERROR(INDEX(Reit!I$8:I$64,MATCH(AL148,Reit!F$8:F$64,0)),"")</f>
        <v/>
      </c>
      <c r="AL148" s="710" t="str">
        <f t="shared" si="21"/>
        <v/>
      </c>
      <c r="AM148" s="652"/>
    </row>
    <row r="149" spans="1:39" hidden="1" x14ac:dyDescent="0.2">
      <c r="A149" s="652"/>
      <c r="B149" s="652"/>
      <c r="C149" s="652"/>
      <c r="D149" s="652"/>
      <c r="E149" s="652"/>
      <c r="F149" s="652"/>
      <c r="G149" s="652"/>
      <c r="H149" s="652"/>
      <c r="I149" s="652"/>
      <c r="J149" s="652"/>
      <c r="K149" s="652"/>
      <c r="L149" s="657"/>
      <c r="M149" s="657"/>
      <c r="N149" s="657"/>
      <c r="O149" s="652"/>
      <c r="P149" s="652"/>
      <c r="Q149" s="652"/>
      <c r="R149" s="652"/>
      <c r="S149" s="652"/>
      <c r="T149" s="657"/>
      <c r="U149" s="657"/>
      <c r="V149" s="657"/>
      <c r="W149" s="652"/>
      <c r="X149" s="652"/>
      <c r="Y149" s="652"/>
      <c r="Z149" s="652"/>
      <c r="AA149" s="652"/>
      <c r="AB149" s="652"/>
      <c r="AC149" s="652"/>
      <c r="AD149" s="652"/>
      <c r="AE149" s="709" t="str">
        <f>IFERROR(INDEX(Reit!I$8:I$64,MATCH(AF149,Reit!F$8:F$64,0)),"")</f>
        <v/>
      </c>
      <c r="AF149" s="710" t="str">
        <f t="shared" si="18"/>
        <v/>
      </c>
      <c r="AG149" s="709" t="str">
        <f>IFERROR(INDEX(Reit!I$8:I$64,MATCH(AH149,Reit!F$8:F$64,0)),"")</f>
        <v/>
      </c>
      <c r="AH149" s="710" t="str">
        <f t="shared" si="19"/>
        <v/>
      </c>
      <c r="AI149" s="709" t="str">
        <f>IFERROR(INDEX(Reit!I$8:I$64,MATCH(AJ149,Reit!F$8:F$64,0)),"")</f>
        <v/>
      </c>
      <c r="AJ149" s="710" t="str">
        <f t="shared" si="20"/>
        <v/>
      </c>
      <c r="AK149" s="709" t="str">
        <f>IFERROR(INDEX(Reit!I$8:I$64,MATCH(AL149,Reit!F$8:F$64,0)),"")</f>
        <v/>
      </c>
      <c r="AL149" s="710" t="str">
        <f t="shared" si="21"/>
        <v/>
      </c>
      <c r="AM149" s="652"/>
    </row>
    <row r="150" spans="1:39" hidden="1" x14ac:dyDescent="0.2">
      <c r="A150" s="652"/>
      <c r="B150" s="652"/>
      <c r="C150" s="652"/>
      <c r="D150" s="652"/>
      <c r="E150" s="652"/>
      <c r="F150" s="652"/>
      <c r="G150" s="652"/>
      <c r="H150" s="652"/>
      <c r="I150" s="652"/>
      <c r="J150" s="652"/>
      <c r="K150" s="652"/>
      <c r="L150" s="657"/>
      <c r="M150" s="657"/>
      <c r="N150" s="657"/>
      <c r="O150" s="652"/>
      <c r="P150" s="652"/>
      <c r="Q150" s="652"/>
      <c r="R150" s="652"/>
      <c r="S150" s="652"/>
      <c r="T150" s="657"/>
      <c r="U150" s="657"/>
      <c r="V150" s="657"/>
      <c r="W150" s="652"/>
      <c r="X150" s="652"/>
      <c r="Y150" s="652"/>
      <c r="Z150" s="652"/>
      <c r="AA150" s="652"/>
      <c r="AB150" s="652"/>
      <c r="AC150" s="652"/>
      <c r="AD150" s="652"/>
      <c r="AE150" s="709" t="str">
        <f>IFERROR(INDEX(Reit!I$8:I$64,MATCH(AF150,Reit!F$8:F$64,0)),"")</f>
        <v/>
      </c>
      <c r="AF150" s="710" t="str">
        <f t="shared" si="18"/>
        <v/>
      </c>
      <c r="AG150" s="709" t="str">
        <f>IFERROR(INDEX(Reit!I$8:I$64,MATCH(AH150,Reit!F$8:F$64,0)),"")</f>
        <v/>
      </c>
      <c r="AH150" s="710" t="str">
        <f t="shared" si="19"/>
        <v/>
      </c>
      <c r="AI150" s="709" t="str">
        <f>IFERROR(INDEX(Reit!I$8:I$64,MATCH(AJ150,Reit!F$8:F$64,0)),"")</f>
        <v/>
      </c>
      <c r="AJ150" s="710" t="str">
        <f t="shared" si="20"/>
        <v/>
      </c>
      <c r="AK150" s="709" t="str">
        <f>IFERROR(INDEX(Reit!I$8:I$64,MATCH(AL150,Reit!F$8:F$64,0)),"")</f>
        <v/>
      </c>
      <c r="AL150" s="710" t="str">
        <f t="shared" si="21"/>
        <v/>
      </c>
      <c r="AM150" s="652"/>
    </row>
    <row r="151" spans="1:39" hidden="1" x14ac:dyDescent="0.2">
      <c r="A151" s="652"/>
      <c r="B151" s="652"/>
      <c r="C151" s="652"/>
      <c r="D151" s="652"/>
      <c r="E151" s="652"/>
      <c r="F151" s="652"/>
      <c r="G151" s="652"/>
      <c r="H151" s="652"/>
      <c r="I151" s="652"/>
      <c r="J151" s="652"/>
      <c r="K151" s="652"/>
      <c r="L151" s="652"/>
      <c r="M151" s="652"/>
      <c r="N151" s="652"/>
      <c r="O151" s="652"/>
      <c r="P151" s="652"/>
      <c r="Q151" s="652"/>
      <c r="R151" s="652"/>
      <c r="S151" s="652"/>
      <c r="T151" s="652"/>
      <c r="U151" s="652"/>
      <c r="V151" s="652"/>
      <c r="W151" s="652"/>
      <c r="X151" s="652"/>
      <c r="Y151" s="652"/>
      <c r="Z151" s="652"/>
      <c r="AA151" s="652"/>
      <c r="AB151" s="652"/>
      <c r="AC151" s="652"/>
      <c r="AD151" s="652"/>
      <c r="AE151" s="709" t="str">
        <f>IFERROR(INDEX(Reit!I$8:I$64,MATCH(AF151,Reit!F$8:F$64,0)),"")</f>
        <v/>
      </c>
      <c r="AF151" s="710" t="str">
        <f t="shared" si="18"/>
        <v/>
      </c>
      <c r="AG151" s="709" t="str">
        <f>IFERROR(INDEX(Reit!I$8:I$64,MATCH(AH151,Reit!F$8:F$64,0)),"")</f>
        <v/>
      </c>
      <c r="AH151" s="710" t="str">
        <f t="shared" si="19"/>
        <v/>
      </c>
      <c r="AI151" s="709" t="str">
        <f>IFERROR(INDEX(Reit!I$8:I$64,MATCH(AJ151,Reit!F$8:F$64,0)),"")</f>
        <v/>
      </c>
      <c r="AJ151" s="710" t="str">
        <f t="shared" si="20"/>
        <v/>
      </c>
      <c r="AK151" s="709" t="str">
        <f>IFERROR(INDEX(Reit!I$8:I$64,MATCH(AL151,Reit!F$8:F$64,0)),"")</f>
        <v/>
      </c>
      <c r="AL151" s="710" t="str">
        <f t="shared" si="21"/>
        <v/>
      </c>
      <c r="AM151" s="652"/>
    </row>
    <row r="152" spans="1:39" hidden="1" x14ac:dyDescent="0.2">
      <c r="A152" s="652"/>
      <c r="B152" s="652"/>
      <c r="C152" s="652"/>
      <c r="D152" s="652"/>
      <c r="E152" s="652"/>
      <c r="F152" s="652"/>
      <c r="G152" s="652"/>
      <c r="H152" s="652"/>
      <c r="I152" s="652"/>
      <c r="J152" s="652"/>
      <c r="K152" s="652"/>
      <c r="L152" s="652"/>
      <c r="M152" s="652"/>
      <c r="N152" s="652"/>
      <c r="O152" s="652"/>
      <c r="P152" s="652"/>
      <c r="Q152" s="652"/>
      <c r="R152" s="652"/>
      <c r="S152" s="652"/>
      <c r="T152" s="652"/>
      <c r="U152" s="652"/>
      <c r="V152" s="652"/>
      <c r="W152" s="652"/>
      <c r="X152" s="652"/>
      <c r="Y152" s="652"/>
      <c r="Z152" s="652"/>
      <c r="AA152" s="652"/>
      <c r="AB152" s="652"/>
      <c r="AC152" s="652"/>
      <c r="AD152" s="652"/>
      <c r="AE152" s="709" t="str">
        <f>IFERROR(INDEX(Reit!I$8:I$64,MATCH(AF152,Reit!F$8:F$64,0)),"")</f>
        <v/>
      </c>
      <c r="AF152" s="710" t="str">
        <f t="shared" si="18"/>
        <v/>
      </c>
      <c r="AG152" s="709" t="str">
        <f>IFERROR(INDEX(Reit!I$8:I$64,MATCH(AH152,Reit!F$8:F$64,0)),"")</f>
        <v/>
      </c>
      <c r="AH152" s="710" t="str">
        <f t="shared" si="19"/>
        <v/>
      </c>
      <c r="AI152" s="709" t="str">
        <f>IFERROR(INDEX(Reit!I$8:I$64,MATCH(AJ152,Reit!F$8:F$64,0)),"")</f>
        <v/>
      </c>
      <c r="AJ152" s="710" t="str">
        <f t="shared" si="20"/>
        <v/>
      </c>
      <c r="AK152" s="709" t="str">
        <f>IFERROR(INDEX(Reit!I$8:I$64,MATCH(AL152,Reit!F$8:F$64,0)),"")</f>
        <v/>
      </c>
      <c r="AL152" s="710" t="str">
        <f t="shared" si="21"/>
        <v/>
      </c>
      <c r="AM152" s="652"/>
    </row>
    <row r="153" spans="1:39" hidden="1" x14ac:dyDescent="0.2">
      <c r="A153" s="652"/>
      <c r="B153" s="652"/>
      <c r="C153" s="652"/>
      <c r="D153" s="652"/>
      <c r="E153" s="652"/>
      <c r="F153" s="652"/>
      <c r="G153" s="652"/>
      <c r="H153" s="652"/>
      <c r="I153" s="652"/>
      <c r="J153" s="652"/>
      <c r="K153" s="652"/>
      <c r="L153" s="652"/>
      <c r="M153" s="652"/>
      <c r="N153" s="652"/>
      <c r="O153" s="652"/>
      <c r="P153" s="652"/>
      <c r="Q153" s="652"/>
      <c r="R153" s="652"/>
      <c r="S153" s="652"/>
      <c r="T153" s="652"/>
      <c r="U153" s="652"/>
      <c r="V153" s="652"/>
      <c r="W153" s="652"/>
      <c r="X153" s="652"/>
      <c r="Y153" s="652"/>
      <c r="Z153" s="652"/>
      <c r="AA153" s="652"/>
      <c r="AB153" s="652"/>
      <c r="AC153" s="652"/>
      <c r="AD153" s="652"/>
      <c r="AE153" s="709" t="str">
        <f>IFERROR(INDEX(Reit!I$8:I$64,MATCH(AF153,Reit!F$8:F$64,0)),"")</f>
        <v/>
      </c>
      <c r="AF153" s="710" t="str">
        <f t="shared" si="18"/>
        <v/>
      </c>
      <c r="AG153" s="709" t="str">
        <f>IFERROR(INDEX(Reit!I$8:I$64,MATCH(AH153,Reit!F$8:F$64,0)),"")</f>
        <v/>
      </c>
      <c r="AH153" s="710" t="str">
        <f t="shared" si="19"/>
        <v/>
      </c>
      <c r="AI153" s="709" t="str">
        <f>IFERROR(INDEX(Reit!I$8:I$64,MATCH(AJ153,Reit!F$8:F$64,0)),"")</f>
        <v/>
      </c>
      <c r="AJ153" s="710" t="str">
        <f t="shared" si="20"/>
        <v/>
      </c>
      <c r="AK153" s="709" t="str">
        <f>IFERROR(INDEX(Reit!I$8:I$64,MATCH(AL153,Reit!F$8:F$64,0)),"")</f>
        <v/>
      </c>
      <c r="AL153" s="710" t="str">
        <f t="shared" si="21"/>
        <v/>
      </c>
      <c r="AM153" s="652"/>
    </row>
    <row r="154" spans="1:39" hidden="1" x14ac:dyDescent="0.2">
      <c r="A154" s="652"/>
      <c r="B154" s="652"/>
      <c r="C154" s="652"/>
      <c r="D154" s="652"/>
      <c r="E154" s="652"/>
      <c r="F154" s="652"/>
      <c r="G154" s="652"/>
      <c r="H154" s="652"/>
      <c r="I154" s="652"/>
      <c r="J154" s="652"/>
      <c r="K154" s="652"/>
      <c r="L154" s="652"/>
      <c r="M154" s="652"/>
      <c r="N154" s="652"/>
      <c r="O154" s="652"/>
      <c r="P154" s="652"/>
      <c r="Q154" s="652"/>
      <c r="R154" s="652"/>
      <c r="S154" s="652"/>
      <c r="T154" s="652"/>
      <c r="U154" s="652"/>
      <c r="V154" s="652"/>
      <c r="W154" s="652"/>
      <c r="X154" s="652"/>
      <c r="Y154" s="652"/>
      <c r="Z154" s="652"/>
      <c r="AA154" s="652"/>
      <c r="AB154" s="652"/>
      <c r="AC154" s="652"/>
      <c r="AD154" s="652"/>
      <c r="AE154" s="709" t="str">
        <f>IFERROR(INDEX(Reit!I$8:I$64,MATCH(AF154,Reit!F$8:F$64,0)),"")</f>
        <v/>
      </c>
      <c r="AF154" s="710" t="str">
        <f t="shared" si="18"/>
        <v/>
      </c>
      <c r="AG154" s="709" t="str">
        <f>IFERROR(INDEX(Reit!I$8:I$64,MATCH(AH154,Reit!F$8:F$64,0)),"")</f>
        <v/>
      </c>
      <c r="AH154" s="710" t="str">
        <f t="shared" si="19"/>
        <v/>
      </c>
      <c r="AI154" s="709" t="str">
        <f>IFERROR(INDEX(Reit!I$8:I$64,MATCH(AJ154,Reit!F$8:F$64,0)),"")</f>
        <v/>
      </c>
      <c r="AJ154" s="710" t="str">
        <f t="shared" si="20"/>
        <v/>
      </c>
      <c r="AK154" s="709" t="str">
        <f>IFERROR(INDEX(Reit!I$8:I$64,MATCH(AL154,Reit!F$8:F$64,0)),"")</f>
        <v/>
      </c>
      <c r="AL154" s="710" t="str">
        <f t="shared" si="21"/>
        <v/>
      </c>
      <c r="AM154" s="652"/>
    </row>
    <row r="155" spans="1:39" hidden="1" x14ac:dyDescent="0.2">
      <c r="A155" s="652"/>
      <c r="B155" s="652"/>
      <c r="C155" s="652"/>
      <c r="D155" s="652"/>
      <c r="E155" s="652"/>
      <c r="F155" s="652"/>
      <c r="G155" s="652"/>
      <c r="H155" s="652"/>
      <c r="I155" s="652"/>
      <c r="J155" s="652"/>
      <c r="K155" s="652"/>
      <c r="L155" s="652"/>
      <c r="M155" s="652"/>
      <c r="N155" s="652"/>
      <c r="O155" s="652"/>
      <c r="P155" s="652"/>
      <c r="Q155" s="652"/>
      <c r="R155" s="652"/>
      <c r="S155" s="652"/>
      <c r="T155" s="652"/>
      <c r="U155" s="652"/>
      <c r="V155" s="652"/>
      <c r="W155" s="652"/>
      <c r="X155" s="652"/>
      <c r="Y155" s="652"/>
      <c r="Z155" s="652"/>
      <c r="AA155" s="652"/>
      <c r="AB155" s="652"/>
      <c r="AC155" s="652"/>
      <c r="AD155" s="652"/>
      <c r="AE155" s="709" t="str">
        <f>IFERROR(INDEX(Reit!I$8:I$64,MATCH(AF155,Reit!F$8:F$64,0)),"")</f>
        <v/>
      </c>
      <c r="AF155" s="710" t="str">
        <f t="shared" si="18"/>
        <v/>
      </c>
      <c r="AG155" s="709" t="str">
        <f>IFERROR(INDEX(Reit!I$8:I$64,MATCH(AH155,Reit!F$8:F$64,0)),"")</f>
        <v/>
      </c>
      <c r="AH155" s="710" t="str">
        <f t="shared" si="19"/>
        <v/>
      </c>
      <c r="AI155" s="709" t="str">
        <f>IFERROR(INDEX(Reit!I$8:I$64,MATCH(AJ155,Reit!F$8:F$64,0)),"")</f>
        <v/>
      </c>
      <c r="AJ155" s="710" t="str">
        <f t="shared" si="20"/>
        <v/>
      </c>
      <c r="AK155" s="709" t="str">
        <f>IFERROR(INDEX(Reit!I$8:I$64,MATCH(AL155,Reit!F$8:F$64,0)),"")</f>
        <v/>
      </c>
      <c r="AL155" s="710" t="str">
        <f t="shared" si="21"/>
        <v/>
      </c>
      <c r="AM155" s="652"/>
    </row>
    <row r="156" spans="1:39" hidden="1" x14ac:dyDescent="0.2">
      <c r="A156" s="652"/>
      <c r="B156" s="652"/>
      <c r="C156" s="652"/>
      <c r="D156" s="652"/>
      <c r="E156" s="652"/>
      <c r="F156" s="652"/>
      <c r="G156" s="652"/>
      <c r="H156" s="652"/>
      <c r="I156" s="652"/>
      <c r="J156" s="652"/>
      <c r="K156" s="652"/>
      <c r="L156" s="652"/>
      <c r="M156" s="652"/>
      <c r="N156" s="652"/>
      <c r="O156" s="652"/>
      <c r="P156" s="652"/>
      <c r="Q156" s="652"/>
      <c r="R156" s="652"/>
      <c r="S156" s="652"/>
      <c r="T156" s="652"/>
      <c r="U156" s="652"/>
      <c r="V156" s="652"/>
      <c r="W156" s="652"/>
      <c r="X156" s="652"/>
      <c r="Y156" s="652"/>
      <c r="Z156" s="652"/>
      <c r="AA156" s="652"/>
      <c r="AB156" s="652"/>
      <c r="AC156" s="652"/>
      <c r="AD156" s="652"/>
      <c r="AE156" s="709" t="str">
        <f>IFERROR(INDEX(Reit!I$8:I$64,MATCH(AF156,Reit!F$8:F$64,0)),"")</f>
        <v/>
      </c>
      <c r="AF156" s="710" t="str">
        <f t="shared" si="18"/>
        <v/>
      </c>
      <c r="AG156" s="709" t="str">
        <f>IFERROR(INDEX(Reit!I$8:I$64,MATCH(AH156,Reit!F$8:F$64,0)),"")</f>
        <v/>
      </c>
      <c r="AH156" s="710" t="str">
        <f t="shared" si="19"/>
        <v/>
      </c>
      <c r="AI156" s="709" t="str">
        <f>IFERROR(INDEX(Reit!I$8:I$64,MATCH(AJ156,Reit!F$8:F$64,0)),"")</f>
        <v/>
      </c>
      <c r="AJ156" s="710" t="str">
        <f t="shared" si="20"/>
        <v/>
      </c>
      <c r="AK156" s="709" t="str">
        <f>IFERROR(INDEX(Reit!I$8:I$64,MATCH(AL156,Reit!F$8:F$64,0)),"")</f>
        <v/>
      </c>
      <c r="AL156" s="710" t="str">
        <f t="shared" si="21"/>
        <v/>
      </c>
      <c r="AM156" s="652"/>
    </row>
    <row r="157" spans="1:39" hidden="1" x14ac:dyDescent="0.2">
      <c r="A157" s="652"/>
      <c r="B157" s="652"/>
      <c r="C157" s="652"/>
      <c r="D157" s="652"/>
      <c r="E157" s="652"/>
      <c r="F157" s="652"/>
      <c r="G157" s="652"/>
      <c r="H157" s="652"/>
      <c r="I157" s="652"/>
      <c r="J157" s="652"/>
      <c r="K157" s="652"/>
      <c r="L157" s="652"/>
      <c r="M157" s="652"/>
      <c r="N157" s="652"/>
      <c r="O157" s="652"/>
      <c r="P157" s="652"/>
      <c r="Q157" s="652"/>
      <c r="R157" s="652"/>
      <c r="S157" s="652"/>
      <c r="T157" s="652"/>
      <c r="U157" s="652"/>
      <c r="V157" s="652"/>
      <c r="W157" s="652"/>
      <c r="X157" s="652"/>
      <c r="Y157" s="652"/>
      <c r="Z157" s="652"/>
      <c r="AA157" s="652"/>
      <c r="AB157" s="652"/>
      <c r="AC157" s="652"/>
      <c r="AD157" s="652"/>
      <c r="AE157" s="709" t="str">
        <f>IFERROR(INDEX(Reit!I$8:I$64,MATCH(AF157,Reit!F$8:F$64,0)),"")</f>
        <v/>
      </c>
      <c r="AF157" s="710" t="str">
        <f t="shared" si="18"/>
        <v/>
      </c>
      <c r="AG157" s="709" t="str">
        <f>IFERROR(INDEX(Reit!I$8:I$64,MATCH(AH157,Reit!F$8:F$64,0)),"")</f>
        <v/>
      </c>
      <c r="AH157" s="710" t="str">
        <f t="shared" si="19"/>
        <v/>
      </c>
      <c r="AI157" s="709" t="str">
        <f>IFERROR(INDEX(Reit!I$8:I$64,MATCH(AJ157,Reit!F$8:F$64,0)),"")</f>
        <v/>
      </c>
      <c r="AJ157" s="710" t="str">
        <f t="shared" si="20"/>
        <v/>
      </c>
      <c r="AK157" s="709" t="str">
        <f>IFERROR(INDEX(Reit!I$8:I$64,MATCH(AL157,Reit!F$8:F$64,0)),"")</f>
        <v/>
      </c>
      <c r="AL157" s="710" t="str">
        <f t="shared" si="21"/>
        <v/>
      </c>
      <c r="AM157" s="652"/>
    </row>
    <row r="158" spans="1:39" hidden="1" x14ac:dyDescent="0.2">
      <c r="A158" s="652"/>
      <c r="B158" s="652"/>
      <c r="C158" s="652"/>
      <c r="D158" s="652"/>
      <c r="E158" s="652"/>
      <c r="F158" s="652"/>
      <c r="G158" s="652"/>
      <c r="H158" s="652"/>
      <c r="I158" s="652"/>
      <c r="J158" s="652"/>
      <c r="K158" s="652"/>
      <c r="L158" s="652"/>
      <c r="M158" s="652"/>
      <c r="N158" s="652"/>
      <c r="O158" s="652"/>
      <c r="P158" s="652"/>
      <c r="Q158" s="652"/>
      <c r="R158" s="652"/>
      <c r="S158" s="652"/>
      <c r="T158" s="652"/>
      <c r="U158" s="652"/>
      <c r="V158" s="652"/>
      <c r="W158" s="652"/>
      <c r="X158" s="652"/>
      <c r="Y158" s="652"/>
      <c r="Z158" s="652"/>
      <c r="AA158" s="652"/>
      <c r="AB158" s="652"/>
      <c r="AC158" s="652"/>
      <c r="AD158" s="652"/>
      <c r="AE158" s="709" t="str">
        <f>IFERROR(INDEX(Reit!I$8:I$64,MATCH(AF158,Reit!F$8:F$64,0)),"")</f>
        <v/>
      </c>
      <c r="AF158" s="710" t="str">
        <f t="shared" si="18"/>
        <v/>
      </c>
      <c r="AG158" s="709" t="str">
        <f>IFERROR(INDEX(Reit!I$8:I$64,MATCH(AH158,Reit!F$8:F$64,0)),"")</f>
        <v/>
      </c>
      <c r="AH158" s="710" t="str">
        <f t="shared" si="19"/>
        <v/>
      </c>
      <c r="AI158" s="709" t="str">
        <f>IFERROR(INDEX(Reit!I$8:I$64,MATCH(AJ158,Reit!F$8:F$64,0)),"")</f>
        <v/>
      </c>
      <c r="AJ158" s="710" t="str">
        <f t="shared" si="20"/>
        <v/>
      </c>
      <c r="AK158" s="709" t="str">
        <f>IFERROR(INDEX(Reit!I$8:I$64,MATCH(AL158,Reit!F$8:F$64,0)),"")</f>
        <v/>
      </c>
      <c r="AL158" s="710" t="str">
        <f t="shared" si="21"/>
        <v/>
      </c>
      <c r="AM158" s="652"/>
    </row>
    <row r="159" spans="1:39" hidden="1" x14ac:dyDescent="0.2">
      <c r="A159" s="652"/>
      <c r="B159" s="652"/>
      <c r="C159" s="652"/>
      <c r="D159" s="652"/>
      <c r="E159" s="652"/>
      <c r="F159" s="652"/>
      <c r="G159" s="652"/>
      <c r="H159" s="652"/>
      <c r="I159" s="652"/>
      <c r="J159" s="652"/>
      <c r="K159" s="652"/>
      <c r="L159" s="652"/>
      <c r="M159" s="652"/>
      <c r="N159" s="652"/>
      <c r="O159" s="652"/>
      <c r="P159" s="652"/>
      <c r="Q159" s="652"/>
      <c r="R159" s="652"/>
      <c r="S159" s="652"/>
      <c r="T159" s="652"/>
      <c r="U159" s="652"/>
      <c r="V159" s="652"/>
      <c r="W159" s="652"/>
      <c r="X159" s="652"/>
      <c r="Y159" s="652"/>
      <c r="Z159" s="652"/>
      <c r="AA159" s="652"/>
      <c r="AB159" s="652"/>
      <c r="AC159" s="652"/>
      <c r="AD159" s="652"/>
      <c r="AE159" s="709" t="str">
        <f>IFERROR(INDEX(Reit!I$8:I$64,MATCH(AF159,Reit!F$8:F$64,0)),"")</f>
        <v/>
      </c>
      <c r="AF159" s="710" t="str">
        <f t="shared" si="18"/>
        <v/>
      </c>
      <c r="AG159" s="709" t="str">
        <f>IFERROR(INDEX(Reit!I$8:I$64,MATCH(AH159,Reit!F$8:F$64,0)),"")</f>
        <v/>
      </c>
      <c r="AH159" s="710" t="str">
        <f t="shared" si="19"/>
        <v/>
      </c>
      <c r="AI159" s="709" t="str">
        <f>IFERROR(INDEX(Reit!I$8:I$64,MATCH(AJ159,Reit!F$8:F$64,0)),"")</f>
        <v/>
      </c>
      <c r="AJ159" s="710" t="str">
        <f t="shared" si="20"/>
        <v/>
      </c>
      <c r="AK159" s="709" t="str">
        <f>IFERROR(INDEX(Reit!I$8:I$64,MATCH(AL159,Reit!F$8:F$64,0)),"")</f>
        <v/>
      </c>
      <c r="AL159" s="710" t="str">
        <f t="shared" si="21"/>
        <v/>
      </c>
      <c r="AM159" s="652"/>
    </row>
    <row r="160" spans="1:39" hidden="1" x14ac:dyDescent="0.2">
      <c r="A160" s="652"/>
      <c r="B160" s="652"/>
      <c r="C160" s="652"/>
      <c r="D160" s="652"/>
      <c r="E160" s="652"/>
      <c r="F160" s="652"/>
      <c r="G160" s="652"/>
      <c r="H160" s="652"/>
      <c r="I160" s="652"/>
      <c r="J160" s="652"/>
      <c r="K160" s="652"/>
      <c r="L160" s="652"/>
      <c r="M160" s="652"/>
      <c r="N160" s="652"/>
      <c r="O160" s="652"/>
      <c r="P160" s="652"/>
      <c r="Q160" s="652"/>
      <c r="R160" s="652"/>
      <c r="S160" s="652"/>
      <c r="T160" s="652"/>
      <c r="U160" s="652"/>
      <c r="V160" s="652"/>
      <c r="W160" s="652"/>
      <c r="X160" s="652"/>
      <c r="Y160" s="652"/>
      <c r="Z160" s="652"/>
      <c r="AA160" s="652"/>
      <c r="AB160" s="652"/>
      <c r="AC160" s="652"/>
      <c r="AD160" s="652"/>
      <c r="AE160" s="709" t="str">
        <f>IFERROR(INDEX(Reit!I$8:I$64,MATCH(AF160,Reit!F$8:F$64,0)),"")</f>
        <v/>
      </c>
      <c r="AF160" s="710" t="str">
        <f t="shared" si="18"/>
        <v/>
      </c>
      <c r="AG160" s="709" t="str">
        <f>IFERROR(INDEX(Reit!I$8:I$64,MATCH(AH160,Reit!F$8:F$64,0)),"")</f>
        <v/>
      </c>
      <c r="AH160" s="710" t="str">
        <f t="shared" si="19"/>
        <v/>
      </c>
      <c r="AI160" s="709" t="str">
        <f>IFERROR(INDEX(Reit!I$8:I$64,MATCH(AJ160,Reit!F$8:F$64,0)),"")</f>
        <v/>
      </c>
      <c r="AJ160" s="710" t="str">
        <f t="shared" si="20"/>
        <v/>
      </c>
      <c r="AK160" s="709" t="str">
        <f>IFERROR(INDEX(Reit!I$8:I$64,MATCH(AL160,Reit!F$8:F$64,0)),"")</f>
        <v/>
      </c>
      <c r="AL160" s="710" t="str">
        <f t="shared" si="21"/>
        <v/>
      </c>
      <c r="AM160" s="652"/>
    </row>
    <row r="161" spans="1:39" hidden="1" x14ac:dyDescent="0.2">
      <c r="A161" s="652"/>
      <c r="B161" s="652"/>
      <c r="C161" s="652"/>
      <c r="D161" s="652"/>
      <c r="E161" s="652"/>
      <c r="F161" s="652"/>
      <c r="G161" s="652"/>
      <c r="H161" s="652"/>
      <c r="I161" s="652"/>
      <c r="J161" s="652"/>
      <c r="K161" s="652"/>
      <c r="L161" s="652"/>
      <c r="M161" s="652"/>
      <c r="N161" s="652"/>
      <c r="O161" s="652"/>
      <c r="P161" s="652"/>
      <c r="Q161" s="652"/>
      <c r="R161" s="652"/>
      <c r="S161" s="652"/>
      <c r="T161" s="652"/>
      <c r="U161" s="652"/>
      <c r="V161" s="652"/>
      <c r="W161" s="652"/>
      <c r="X161" s="652"/>
      <c r="Y161" s="652"/>
      <c r="Z161" s="652"/>
      <c r="AA161" s="652"/>
      <c r="AB161" s="652"/>
      <c r="AC161" s="652"/>
      <c r="AD161" s="652"/>
      <c r="AE161" s="709" t="str">
        <f>IFERROR(INDEX(Reit!I$8:I$64,MATCH(AF161,Reit!F$8:F$64,0)),"")</f>
        <v/>
      </c>
      <c r="AF161" s="710" t="str">
        <f t="shared" si="18"/>
        <v/>
      </c>
      <c r="AG161" s="709" t="str">
        <f>IFERROR(INDEX(Reit!I$8:I$64,MATCH(AH161,Reit!F$8:F$64,0)),"")</f>
        <v/>
      </c>
      <c r="AH161" s="710" t="str">
        <f t="shared" si="19"/>
        <v/>
      </c>
      <c r="AI161" s="709" t="str">
        <f>IFERROR(INDEX(Reit!I$8:I$64,MATCH(AJ161,Reit!F$8:F$64,0)),"")</f>
        <v/>
      </c>
      <c r="AJ161" s="710" t="str">
        <f t="shared" si="20"/>
        <v/>
      </c>
      <c r="AK161" s="709" t="str">
        <f>IFERROR(INDEX(Reit!I$8:I$64,MATCH(AL161,Reit!F$8:F$64,0)),"")</f>
        <v/>
      </c>
      <c r="AL161" s="710" t="str">
        <f t="shared" si="21"/>
        <v/>
      </c>
      <c r="AM161" s="652"/>
    </row>
    <row r="162" spans="1:39" hidden="1" x14ac:dyDescent="0.2">
      <c r="A162" s="652"/>
      <c r="B162" s="652"/>
      <c r="C162" s="652"/>
      <c r="D162" s="652"/>
      <c r="E162" s="652"/>
      <c r="F162" s="652"/>
      <c r="G162" s="652"/>
      <c r="H162" s="652"/>
      <c r="I162" s="652"/>
      <c r="J162" s="652"/>
      <c r="K162" s="652"/>
      <c r="L162" s="652"/>
      <c r="M162" s="652"/>
      <c r="N162" s="652"/>
      <c r="O162" s="652"/>
      <c r="P162" s="652"/>
      <c r="Q162" s="652"/>
      <c r="R162" s="652"/>
      <c r="S162" s="652"/>
      <c r="T162" s="652"/>
      <c r="U162" s="652"/>
      <c r="V162" s="652"/>
      <c r="W162" s="652"/>
      <c r="X162" s="652"/>
      <c r="Y162" s="652"/>
      <c r="Z162" s="652"/>
      <c r="AA162" s="652"/>
      <c r="AB162" s="652"/>
      <c r="AC162" s="652"/>
      <c r="AD162" s="652"/>
      <c r="AE162" s="709" t="str">
        <f>IFERROR(INDEX(Reit!I$8:I$64,MATCH(AF162,Reit!F$8:F$64,0)),"")</f>
        <v/>
      </c>
      <c r="AF162" s="710" t="str">
        <f t="shared" si="18"/>
        <v/>
      </c>
      <c r="AG162" s="709" t="str">
        <f>IFERROR(INDEX(Reit!I$8:I$64,MATCH(AH162,Reit!F$8:F$64,0)),"")</f>
        <v/>
      </c>
      <c r="AH162" s="710" t="str">
        <f t="shared" si="19"/>
        <v/>
      </c>
      <c r="AI162" s="709" t="str">
        <f>IFERROR(INDEX(Reit!I$8:I$64,MATCH(AJ162,Reit!F$8:F$64,0)),"")</f>
        <v/>
      </c>
      <c r="AJ162" s="710" t="str">
        <f t="shared" si="20"/>
        <v/>
      </c>
      <c r="AK162" s="709" t="str">
        <f>IFERROR(INDEX(Reit!I$8:I$64,MATCH(AL162,Reit!F$8:F$64,0)),"")</f>
        <v/>
      </c>
      <c r="AL162" s="710" t="str">
        <f t="shared" si="21"/>
        <v/>
      </c>
      <c r="AM162" s="652"/>
    </row>
    <row r="163" spans="1:39" hidden="1" x14ac:dyDescent="0.2">
      <c r="A163" s="652"/>
      <c r="B163" s="652"/>
      <c r="C163" s="652"/>
      <c r="D163" s="652"/>
      <c r="E163" s="652"/>
      <c r="F163" s="652"/>
      <c r="G163" s="652"/>
      <c r="H163" s="652"/>
      <c r="I163" s="652"/>
      <c r="J163" s="652"/>
      <c r="K163" s="652"/>
      <c r="L163" s="652"/>
      <c r="M163" s="652"/>
      <c r="N163" s="652"/>
      <c r="O163" s="652"/>
      <c r="P163" s="652"/>
      <c r="Q163" s="652"/>
      <c r="R163" s="652"/>
      <c r="S163" s="652"/>
      <c r="T163" s="652"/>
      <c r="U163" s="652"/>
      <c r="V163" s="652"/>
      <c r="W163" s="652"/>
      <c r="X163" s="652"/>
      <c r="Y163" s="652"/>
      <c r="Z163" s="652"/>
      <c r="AA163" s="652"/>
      <c r="AB163" s="652"/>
      <c r="AC163" s="652"/>
      <c r="AD163" s="652"/>
      <c r="AE163" s="709" t="str">
        <f>IFERROR(INDEX(Reit!I$8:I$64,MATCH(AF163,Reit!F$8:F$64,0)),"")</f>
        <v/>
      </c>
      <c r="AF163" s="710" t="str">
        <f t="shared" si="18"/>
        <v/>
      </c>
      <c r="AG163" s="709" t="str">
        <f>IFERROR(INDEX(Reit!I$8:I$64,MATCH(AH163,Reit!F$8:F$64,0)),"")</f>
        <v/>
      </c>
      <c r="AH163" s="710" t="str">
        <f t="shared" si="19"/>
        <v/>
      </c>
      <c r="AI163" s="709" t="str">
        <f>IFERROR(INDEX(Reit!I$8:I$64,MATCH(AJ163,Reit!F$8:F$64,0)),"")</f>
        <v/>
      </c>
      <c r="AJ163" s="710" t="str">
        <f t="shared" si="20"/>
        <v/>
      </c>
      <c r="AK163" s="709" t="str">
        <f>IFERROR(INDEX(Reit!I$8:I$64,MATCH(AL163,Reit!F$8:F$64,0)),"")</f>
        <v/>
      </c>
      <c r="AL163" s="710" t="str">
        <f t="shared" si="21"/>
        <v/>
      </c>
      <c r="AM163" s="652"/>
    </row>
    <row r="164" spans="1:39" hidden="1" x14ac:dyDescent="0.2">
      <c r="A164" s="652"/>
      <c r="B164" s="652"/>
      <c r="C164" s="652"/>
      <c r="D164" s="652"/>
      <c r="E164" s="652"/>
      <c r="F164" s="652"/>
      <c r="G164" s="652"/>
      <c r="H164" s="652"/>
      <c r="I164" s="652"/>
      <c r="J164" s="652"/>
      <c r="K164" s="652"/>
      <c r="L164" s="657"/>
      <c r="M164" s="657"/>
      <c r="N164" s="657"/>
      <c r="O164" s="652"/>
      <c r="P164" s="652"/>
      <c r="Q164" s="652"/>
      <c r="R164" s="652"/>
      <c r="S164" s="652"/>
      <c r="T164" s="657"/>
      <c r="U164" s="657"/>
      <c r="V164" s="657"/>
      <c r="W164" s="652"/>
      <c r="X164" s="652"/>
      <c r="Y164" s="652"/>
      <c r="Z164" s="652"/>
      <c r="AA164" s="652"/>
      <c r="AB164" s="652"/>
      <c r="AC164" s="652"/>
      <c r="AD164" s="652"/>
      <c r="AE164" s="709" t="str">
        <f>IFERROR(INDEX(Reit!I$8:I$64,MATCH(AF164,Reit!F$8:F$64,0)),"")</f>
        <v/>
      </c>
      <c r="AF164" s="710" t="str">
        <f t="shared" si="18"/>
        <v/>
      </c>
      <c r="AG164" s="709" t="str">
        <f>IFERROR(INDEX(Reit!I$8:I$64,MATCH(AH164,Reit!F$8:F$64,0)),"")</f>
        <v/>
      </c>
      <c r="AH164" s="710" t="str">
        <f t="shared" si="19"/>
        <v/>
      </c>
      <c r="AI164" s="709" t="str">
        <f>IFERROR(INDEX(Reit!I$8:I$64,MATCH(AJ164,Reit!F$8:F$64,0)),"")</f>
        <v/>
      </c>
      <c r="AJ164" s="710" t="str">
        <f t="shared" si="20"/>
        <v/>
      </c>
      <c r="AK164" s="709" t="str">
        <f>IFERROR(INDEX(Reit!I$8:I$64,MATCH(AL164,Reit!F$8:F$64,0)),"")</f>
        <v/>
      </c>
      <c r="AL164" s="710" t="str">
        <f t="shared" si="21"/>
        <v/>
      </c>
      <c r="AM164" s="652"/>
    </row>
    <row r="165" spans="1:39" hidden="1" x14ac:dyDescent="0.2">
      <c r="A165" s="652"/>
      <c r="B165" s="652"/>
      <c r="C165" s="652"/>
      <c r="D165" s="652"/>
      <c r="E165" s="652"/>
      <c r="F165" s="652"/>
      <c r="G165" s="652"/>
      <c r="H165" s="652"/>
      <c r="I165" s="652"/>
      <c r="J165" s="652"/>
      <c r="K165" s="652"/>
      <c r="L165" s="657"/>
      <c r="M165" s="657"/>
      <c r="N165" s="657"/>
      <c r="O165" s="652"/>
      <c r="P165" s="652"/>
      <c r="Q165" s="652"/>
      <c r="R165" s="652"/>
      <c r="S165" s="652"/>
      <c r="T165" s="657"/>
      <c r="U165" s="657"/>
      <c r="V165" s="657"/>
      <c r="W165" s="652"/>
      <c r="X165" s="652"/>
      <c r="Y165" s="652"/>
      <c r="Z165" s="652"/>
      <c r="AA165" s="652"/>
      <c r="AB165" s="652"/>
      <c r="AC165" s="652"/>
      <c r="AD165" s="652"/>
      <c r="AE165" s="709" t="str">
        <f>IFERROR(INDEX(Reit!I$8:I$64,MATCH(AF165,Reit!F$8:F$64,0)),"")</f>
        <v/>
      </c>
      <c r="AF165" s="710" t="str">
        <f t="shared" si="18"/>
        <v/>
      </c>
      <c r="AG165" s="709" t="str">
        <f>IFERROR(INDEX(Reit!I$8:I$64,MATCH(AH165,Reit!F$8:F$64,0)),"")</f>
        <v/>
      </c>
      <c r="AH165" s="710" t="str">
        <f t="shared" si="19"/>
        <v/>
      </c>
      <c r="AI165" s="709" t="str">
        <f>IFERROR(INDEX(Reit!I$8:I$64,MATCH(AJ165,Reit!F$8:F$64,0)),"")</f>
        <v/>
      </c>
      <c r="AJ165" s="710" t="str">
        <f t="shared" si="20"/>
        <v/>
      </c>
      <c r="AK165" s="709" t="str">
        <f>IFERROR(INDEX(Reit!I$8:I$64,MATCH(AL165,Reit!F$8:F$64,0)),"")</f>
        <v/>
      </c>
      <c r="AL165" s="710" t="str">
        <f t="shared" si="21"/>
        <v/>
      </c>
      <c r="AM165" s="652"/>
    </row>
    <row r="166" spans="1:39" hidden="1" x14ac:dyDescent="0.2">
      <c r="A166" s="652"/>
      <c r="B166" s="652"/>
      <c r="C166" s="652"/>
      <c r="D166" s="652"/>
      <c r="E166" s="652"/>
      <c r="F166" s="652"/>
      <c r="G166" s="652"/>
      <c r="H166" s="652"/>
      <c r="I166" s="652"/>
      <c r="J166" s="652"/>
      <c r="K166" s="652"/>
      <c r="L166" s="657"/>
      <c r="M166" s="657"/>
      <c r="N166" s="657"/>
      <c r="O166" s="652"/>
      <c r="P166" s="652"/>
      <c r="Q166" s="652"/>
      <c r="R166" s="652"/>
      <c r="S166" s="652"/>
      <c r="T166" s="657"/>
      <c r="U166" s="657"/>
      <c r="V166" s="657"/>
      <c r="W166" s="652"/>
      <c r="X166" s="652"/>
      <c r="Y166" s="652"/>
      <c r="Z166" s="652"/>
      <c r="AA166" s="652"/>
      <c r="AB166" s="652"/>
      <c r="AC166" s="652"/>
      <c r="AD166" s="652"/>
      <c r="AE166" s="709" t="str">
        <f>IFERROR(INDEX(Reit!I$8:I$64,MATCH(AF166,Reit!F$8:F$64,0)),"")</f>
        <v/>
      </c>
      <c r="AF166" s="710" t="str">
        <f t="shared" si="18"/>
        <v/>
      </c>
      <c r="AG166" s="709" t="str">
        <f>IFERROR(INDEX(Reit!I$8:I$64,MATCH(AH166,Reit!F$8:F$64,0)),"")</f>
        <v/>
      </c>
      <c r="AH166" s="710" t="str">
        <f t="shared" si="19"/>
        <v/>
      </c>
      <c r="AI166" s="709" t="str">
        <f>IFERROR(INDEX(Reit!I$8:I$64,MATCH(AJ166,Reit!F$8:F$64,0)),"")</f>
        <v/>
      </c>
      <c r="AJ166" s="710" t="str">
        <f t="shared" si="20"/>
        <v/>
      </c>
      <c r="AK166" s="709" t="str">
        <f>IFERROR(INDEX(Reit!I$8:I$64,MATCH(AL166,Reit!F$8:F$64,0)),"")</f>
        <v/>
      </c>
      <c r="AL166" s="710" t="str">
        <f t="shared" si="21"/>
        <v/>
      </c>
      <c r="AM166" s="652"/>
    </row>
    <row r="167" spans="1:39" hidden="1" x14ac:dyDescent="0.2">
      <c r="A167" s="652"/>
      <c r="B167" s="652"/>
      <c r="C167" s="652"/>
      <c r="D167" s="652"/>
      <c r="E167" s="652"/>
      <c r="F167" s="652"/>
      <c r="G167" s="652"/>
      <c r="H167" s="652"/>
      <c r="I167" s="652"/>
      <c r="J167" s="652"/>
      <c r="K167" s="652"/>
      <c r="L167" s="657"/>
      <c r="M167" s="657"/>
      <c r="N167" s="657"/>
      <c r="O167" s="652"/>
      <c r="P167" s="652"/>
      <c r="Q167" s="652"/>
      <c r="R167" s="652"/>
      <c r="S167" s="652"/>
      <c r="T167" s="657"/>
      <c r="U167" s="657"/>
      <c r="V167" s="657"/>
      <c r="W167" s="652"/>
      <c r="X167" s="652"/>
      <c r="Y167" s="652"/>
      <c r="Z167" s="652"/>
      <c r="AA167" s="652"/>
      <c r="AB167" s="652"/>
      <c r="AC167" s="652"/>
      <c r="AD167" s="652"/>
      <c r="AE167" s="709" t="str">
        <f>IFERROR(INDEX(Reit!I$8:I$64,MATCH(AF167,Reit!F$8:F$64,0)),"")</f>
        <v/>
      </c>
      <c r="AF167" s="710" t="str">
        <f t="shared" si="18"/>
        <v/>
      </c>
      <c r="AG167" s="709" t="str">
        <f>IFERROR(INDEX(Reit!I$8:I$64,MATCH(AH167,Reit!F$8:F$64,0)),"")</f>
        <v/>
      </c>
      <c r="AH167" s="710" t="str">
        <f t="shared" si="19"/>
        <v/>
      </c>
      <c r="AI167" s="709" t="str">
        <f>IFERROR(INDEX(Reit!I$8:I$64,MATCH(AJ167,Reit!F$8:F$64,0)),"")</f>
        <v/>
      </c>
      <c r="AJ167" s="710" t="str">
        <f t="shared" si="20"/>
        <v/>
      </c>
      <c r="AK167" s="709" t="str">
        <f>IFERROR(INDEX(Reit!I$8:I$64,MATCH(AL167,Reit!F$8:F$64,0)),"")</f>
        <v/>
      </c>
      <c r="AL167" s="710" t="str">
        <f t="shared" si="21"/>
        <v/>
      </c>
      <c r="AM167" s="652"/>
    </row>
    <row r="168" spans="1:39" hidden="1" x14ac:dyDescent="0.2">
      <c r="A168" s="652"/>
      <c r="B168" s="652"/>
      <c r="C168" s="652"/>
      <c r="D168" s="652"/>
      <c r="E168" s="652"/>
      <c r="F168" s="652"/>
      <c r="G168" s="652"/>
      <c r="H168" s="652"/>
      <c r="I168" s="652"/>
      <c r="J168" s="652"/>
      <c r="K168" s="652"/>
      <c r="L168" s="657"/>
      <c r="M168" s="657"/>
      <c r="N168" s="657"/>
      <c r="O168" s="652"/>
      <c r="P168" s="652"/>
      <c r="Q168" s="652"/>
      <c r="R168" s="652"/>
      <c r="S168" s="652"/>
      <c r="T168" s="657"/>
      <c r="U168" s="657"/>
      <c r="V168" s="657"/>
      <c r="W168" s="652"/>
      <c r="X168" s="652"/>
      <c r="Y168" s="652"/>
      <c r="Z168" s="652"/>
      <c r="AA168" s="652"/>
      <c r="AB168" s="652"/>
      <c r="AC168" s="652"/>
      <c r="AD168" s="652"/>
      <c r="AE168" s="709" t="str">
        <f>IFERROR(INDEX(Reit!I$8:I$64,MATCH(AF168,Reit!F$8:F$64,0)),"")</f>
        <v/>
      </c>
      <c r="AF168" s="710" t="str">
        <f t="shared" si="18"/>
        <v/>
      </c>
      <c r="AG168" s="709" t="str">
        <f>IFERROR(INDEX(Reit!I$8:I$64,MATCH(AH168,Reit!F$8:F$64,0)),"")</f>
        <v/>
      </c>
      <c r="AH168" s="710" t="str">
        <f t="shared" si="19"/>
        <v/>
      </c>
      <c r="AI168" s="709" t="str">
        <f>IFERROR(INDEX(Reit!I$8:I$64,MATCH(AJ168,Reit!F$8:F$64,0)),"")</f>
        <v/>
      </c>
      <c r="AJ168" s="710" t="str">
        <f t="shared" si="20"/>
        <v/>
      </c>
      <c r="AK168" s="709" t="str">
        <f>IFERROR(INDEX(Reit!I$8:I$64,MATCH(AL168,Reit!F$8:F$64,0)),"")</f>
        <v/>
      </c>
      <c r="AL168" s="710" t="str">
        <f t="shared" si="21"/>
        <v/>
      </c>
      <c r="AM168" s="652"/>
    </row>
    <row r="169" spans="1:39" hidden="1" x14ac:dyDescent="0.2">
      <c r="A169" s="652"/>
      <c r="B169" s="652"/>
      <c r="C169" s="652"/>
      <c r="D169" s="652"/>
      <c r="E169" s="652"/>
      <c r="F169" s="652"/>
      <c r="G169" s="652"/>
      <c r="H169" s="652"/>
      <c r="I169" s="652"/>
      <c r="J169" s="652"/>
      <c r="K169" s="652"/>
      <c r="L169" s="657"/>
      <c r="M169" s="657"/>
      <c r="N169" s="657"/>
      <c r="O169" s="652"/>
      <c r="P169" s="652"/>
      <c r="Q169" s="652"/>
      <c r="R169" s="652"/>
      <c r="S169" s="652"/>
      <c r="T169" s="657"/>
      <c r="U169" s="657"/>
      <c r="V169" s="657"/>
      <c r="W169" s="652"/>
      <c r="X169" s="652"/>
      <c r="Y169" s="652"/>
      <c r="Z169" s="652"/>
      <c r="AA169" s="652"/>
      <c r="AB169" s="652"/>
      <c r="AC169" s="652"/>
      <c r="AD169" s="652"/>
      <c r="AE169" s="709" t="str">
        <f>IFERROR(INDEX(Reit!I$8:I$64,MATCH(AF169,Reit!F$8:F$64,0)),"")</f>
        <v/>
      </c>
      <c r="AF169" s="710" t="str">
        <f t="shared" si="18"/>
        <v/>
      </c>
      <c r="AG169" s="709" t="str">
        <f>IFERROR(INDEX(Reit!I$8:I$64,MATCH(AH169,Reit!F$8:F$64,0)),"")</f>
        <v/>
      </c>
      <c r="AH169" s="710" t="str">
        <f t="shared" si="19"/>
        <v/>
      </c>
      <c r="AI169" s="709" t="str">
        <f>IFERROR(INDEX(Reit!I$8:I$64,MATCH(AJ169,Reit!F$8:F$64,0)),"")</f>
        <v/>
      </c>
      <c r="AJ169" s="710" t="str">
        <f t="shared" si="20"/>
        <v/>
      </c>
      <c r="AK169" s="709" t="str">
        <f>IFERROR(INDEX(Reit!I$8:I$64,MATCH(AL169,Reit!F$8:F$64,0)),"")</f>
        <v/>
      </c>
      <c r="AL169" s="710" t="str">
        <f t="shared" si="21"/>
        <v/>
      </c>
      <c r="AM169" s="652"/>
    </row>
    <row r="170" spans="1:39" hidden="1" x14ac:dyDescent="0.2">
      <c r="A170" s="652"/>
      <c r="B170" s="652"/>
      <c r="C170" s="652"/>
      <c r="D170" s="652"/>
      <c r="E170" s="652"/>
      <c r="F170" s="652"/>
      <c r="G170" s="652"/>
      <c r="H170" s="652"/>
      <c r="I170" s="652"/>
      <c r="J170" s="652"/>
      <c r="K170" s="652"/>
      <c r="L170" s="657"/>
      <c r="M170" s="657"/>
      <c r="N170" s="657"/>
      <c r="O170" s="652"/>
      <c r="P170" s="652"/>
      <c r="Q170" s="652"/>
      <c r="R170" s="652"/>
      <c r="S170" s="652"/>
      <c r="T170" s="657"/>
      <c r="U170" s="657"/>
      <c r="V170" s="657"/>
      <c r="W170" s="652"/>
      <c r="X170" s="652"/>
      <c r="Y170" s="652"/>
      <c r="Z170" s="652"/>
      <c r="AA170" s="652"/>
      <c r="AB170" s="652"/>
      <c r="AC170" s="652"/>
      <c r="AD170" s="652"/>
      <c r="AE170" s="709" t="str">
        <f>IFERROR(INDEX(Reit!I$8:I$64,MATCH(AF170,Reit!F$8:F$64,0)),"")</f>
        <v/>
      </c>
      <c r="AF170" s="710" t="str">
        <f t="shared" si="18"/>
        <v/>
      </c>
      <c r="AG170" s="709" t="str">
        <f>IFERROR(INDEX(Reit!I$8:I$64,MATCH(AH170,Reit!F$8:F$64,0)),"")</f>
        <v/>
      </c>
      <c r="AH170" s="710" t="str">
        <f t="shared" si="19"/>
        <v/>
      </c>
      <c r="AI170" s="709" t="str">
        <f>IFERROR(INDEX(Reit!I$8:I$64,MATCH(AJ170,Reit!F$8:F$64,0)),"")</f>
        <v/>
      </c>
      <c r="AJ170" s="710" t="str">
        <f t="shared" si="20"/>
        <v/>
      </c>
      <c r="AK170" s="709" t="str">
        <f>IFERROR(INDEX(Reit!I$8:I$64,MATCH(AL170,Reit!F$8:F$64,0)),"")</f>
        <v/>
      </c>
      <c r="AL170" s="710" t="str">
        <f t="shared" si="21"/>
        <v/>
      </c>
      <c r="AM170" s="652"/>
    </row>
    <row r="171" spans="1:39" hidden="1" x14ac:dyDescent="0.2">
      <c r="A171" s="652"/>
      <c r="B171" s="652"/>
      <c r="C171" s="652"/>
      <c r="D171" s="652"/>
      <c r="E171" s="652"/>
      <c r="F171" s="652"/>
      <c r="G171" s="652"/>
      <c r="H171" s="652"/>
      <c r="I171" s="652"/>
      <c r="J171" s="652"/>
      <c r="K171" s="652"/>
      <c r="L171" s="657"/>
      <c r="M171" s="657"/>
      <c r="N171" s="657"/>
      <c r="O171" s="652"/>
      <c r="P171" s="652"/>
      <c r="Q171" s="652"/>
      <c r="R171" s="652"/>
      <c r="S171" s="652"/>
      <c r="T171" s="657"/>
      <c r="U171" s="657"/>
      <c r="V171" s="657"/>
      <c r="W171" s="652"/>
      <c r="X171" s="652"/>
      <c r="Y171" s="652"/>
      <c r="Z171" s="652"/>
      <c r="AA171" s="652"/>
      <c r="AB171" s="652"/>
      <c r="AC171" s="652"/>
      <c r="AD171" s="652"/>
      <c r="AE171" s="709" t="str">
        <f>IFERROR(INDEX(Reit!I$8:I$64,MATCH(AF171,Reit!F$8:F$64,0)),"")</f>
        <v/>
      </c>
      <c r="AF171" s="710" t="str">
        <f t="shared" si="18"/>
        <v/>
      </c>
      <c r="AG171" s="709" t="str">
        <f>IFERROR(INDEX(Reit!I$8:I$64,MATCH(AH171,Reit!F$8:F$64,0)),"")</f>
        <v/>
      </c>
      <c r="AH171" s="710" t="str">
        <f t="shared" si="19"/>
        <v/>
      </c>
      <c r="AI171" s="709" t="str">
        <f>IFERROR(INDEX(Reit!I$8:I$64,MATCH(AJ171,Reit!F$8:F$64,0)),"")</f>
        <v/>
      </c>
      <c r="AJ171" s="710" t="str">
        <f t="shared" si="20"/>
        <v/>
      </c>
      <c r="AK171" s="709" t="str">
        <f>IFERROR(INDEX(Reit!I$8:I$64,MATCH(AL171,Reit!F$8:F$64,0)),"")</f>
        <v/>
      </c>
      <c r="AL171" s="710" t="str">
        <f t="shared" si="21"/>
        <v/>
      </c>
      <c r="AM171" s="652"/>
    </row>
    <row r="172" spans="1:39" hidden="1" x14ac:dyDescent="0.2">
      <c r="A172" s="652"/>
      <c r="B172" s="652"/>
      <c r="C172" s="652"/>
      <c r="D172" s="652"/>
      <c r="E172" s="652"/>
      <c r="F172" s="652"/>
      <c r="G172" s="652"/>
      <c r="H172" s="652"/>
      <c r="I172" s="652"/>
      <c r="J172" s="652"/>
      <c r="K172" s="652"/>
      <c r="L172" s="657"/>
      <c r="M172" s="657"/>
      <c r="N172" s="657"/>
      <c r="O172" s="652"/>
      <c r="P172" s="652"/>
      <c r="Q172" s="652"/>
      <c r="R172" s="652"/>
      <c r="S172" s="652"/>
      <c r="T172" s="657"/>
      <c r="U172" s="657"/>
      <c r="V172" s="657"/>
      <c r="W172" s="652"/>
      <c r="X172" s="652"/>
      <c r="Y172" s="652"/>
      <c r="Z172" s="652"/>
      <c r="AA172" s="652"/>
      <c r="AB172" s="652"/>
      <c r="AC172" s="652"/>
      <c r="AD172" s="652"/>
      <c r="AE172" s="709" t="str">
        <f>IFERROR(INDEX(Reit!I$8:I$64,MATCH(AF172,Reit!F$8:F$64,0)),"")</f>
        <v/>
      </c>
      <c r="AF172" s="710" t="str">
        <f t="shared" si="18"/>
        <v/>
      </c>
      <c r="AG172" s="709" t="str">
        <f>IFERROR(INDEX(Reit!I$8:I$64,MATCH(AH172,Reit!F$8:F$64,0)),"")</f>
        <v/>
      </c>
      <c r="AH172" s="710" t="str">
        <f t="shared" si="19"/>
        <v/>
      </c>
      <c r="AI172" s="709" t="str">
        <f>IFERROR(INDEX(Reit!I$8:I$64,MATCH(AJ172,Reit!F$8:F$64,0)),"")</f>
        <v/>
      </c>
      <c r="AJ172" s="710" t="str">
        <f t="shared" si="20"/>
        <v/>
      </c>
      <c r="AK172" s="709" t="str">
        <f>IFERROR(INDEX(Reit!I$8:I$64,MATCH(AL172,Reit!F$8:F$64,0)),"")</f>
        <v/>
      </c>
      <c r="AL172" s="710" t="str">
        <f t="shared" si="21"/>
        <v/>
      </c>
      <c r="AM172" s="652"/>
    </row>
    <row r="173" spans="1:39" hidden="1" x14ac:dyDescent="0.2">
      <c r="A173" s="652"/>
      <c r="B173" s="652"/>
      <c r="C173" s="652"/>
      <c r="D173" s="652"/>
      <c r="E173" s="652"/>
      <c r="F173" s="652"/>
      <c r="G173" s="652"/>
      <c r="H173" s="652"/>
      <c r="I173" s="652"/>
      <c r="J173" s="652"/>
      <c r="K173" s="652"/>
      <c r="L173" s="657"/>
      <c r="M173" s="657"/>
      <c r="N173" s="657"/>
      <c r="O173" s="652"/>
      <c r="P173" s="652"/>
      <c r="Q173" s="652"/>
      <c r="R173" s="652"/>
      <c r="S173" s="652"/>
      <c r="T173" s="657"/>
      <c r="U173" s="657"/>
      <c r="V173" s="657"/>
      <c r="W173" s="652"/>
      <c r="X173" s="652"/>
      <c r="Y173" s="652"/>
      <c r="Z173" s="652"/>
      <c r="AA173" s="652"/>
      <c r="AB173" s="652"/>
      <c r="AC173" s="652"/>
      <c r="AD173" s="652"/>
      <c r="AE173" s="709" t="str">
        <f>IFERROR(INDEX(Reit!I$8:I$64,MATCH(AF173,Reit!F$8:F$64,0)),"")</f>
        <v/>
      </c>
      <c r="AF173" s="710" t="str">
        <f t="shared" si="18"/>
        <v/>
      </c>
      <c r="AG173" s="709" t="str">
        <f>IFERROR(INDEX(Reit!I$8:I$64,MATCH(AH173,Reit!F$8:F$64,0)),"")</f>
        <v/>
      </c>
      <c r="AH173" s="710" t="str">
        <f t="shared" si="19"/>
        <v/>
      </c>
      <c r="AI173" s="709" t="str">
        <f>IFERROR(INDEX(Reit!I$8:I$64,MATCH(AJ173,Reit!F$8:F$64,0)),"")</f>
        <v/>
      </c>
      <c r="AJ173" s="710" t="str">
        <f t="shared" si="20"/>
        <v/>
      </c>
      <c r="AK173" s="709" t="str">
        <f>IFERROR(INDEX(Reit!I$8:I$64,MATCH(AL173,Reit!F$8:F$64,0)),"")</f>
        <v/>
      </c>
      <c r="AL173" s="710" t="str">
        <f t="shared" si="21"/>
        <v/>
      </c>
      <c r="AM173" s="652"/>
    </row>
    <row r="174" spans="1:39" hidden="1" x14ac:dyDescent="0.2">
      <c r="A174" s="652"/>
      <c r="B174" s="652"/>
      <c r="C174" s="652"/>
      <c r="D174" s="652"/>
      <c r="E174" s="652"/>
      <c r="F174" s="652"/>
      <c r="G174" s="652"/>
      <c r="H174" s="652"/>
      <c r="I174" s="652"/>
      <c r="J174" s="652"/>
      <c r="K174" s="652"/>
      <c r="L174" s="657"/>
      <c r="M174" s="657"/>
      <c r="N174" s="657"/>
      <c r="O174" s="652"/>
      <c r="P174" s="652"/>
      <c r="Q174" s="652"/>
      <c r="R174" s="652"/>
      <c r="S174" s="652"/>
      <c r="T174" s="657"/>
      <c r="U174" s="657"/>
      <c r="V174" s="657"/>
      <c r="W174" s="652"/>
      <c r="X174" s="652"/>
      <c r="Y174" s="652"/>
      <c r="Z174" s="652"/>
      <c r="AA174" s="652"/>
      <c r="AB174" s="652"/>
      <c r="AC174" s="652"/>
      <c r="AD174" s="652"/>
      <c r="AE174" s="709" t="str">
        <f>IFERROR(INDEX(Reit!I$8:I$64,MATCH(AF174,Reit!F$8:F$64,0)),"")</f>
        <v/>
      </c>
      <c r="AF174" s="710" t="str">
        <f t="shared" si="18"/>
        <v/>
      </c>
      <c r="AG174" s="709" t="str">
        <f>IFERROR(INDEX(Reit!I$8:I$64,MATCH(AH174,Reit!F$8:F$64,0)),"")</f>
        <v/>
      </c>
      <c r="AH174" s="710" t="str">
        <f t="shared" si="19"/>
        <v/>
      </c>
      <c r="AI174" s="709" t="str">
        <f>IFERROR(INDEX(Reit!I$8:I$64,MATCH(AJ174,Reit!F$8:F$64,0)),"")</f>
        <v/>
      </c>
      <c r="AJ174" s="710" t="str">
        <f t="shared" si="20"/>
        <v/>
      </c>
      <c r="AK174" s="709" t="str">
        <f>IFERROR(INDEX(Reit!I$8:I$64,MATCH(AL174,Reit!F$8:F$64,0)),"")</f>
        <v/>
      </c>
      <c r="AL174" s="710" t="str">
        <f t="shared" si="21"/>
        <v/>
      </c>
      <c r="AM174" s="652"/>
    </row>
    <row r="175" spans="1:39" hidden="1" x14ac:dyDescent="0.2">
      <c r="A175" s="652"/>
      <c r="B175" s="652"/>
      <c r="C175" s="652"/>
      <c r="D175" s="652"/>
      <c r="E175" s="652"/>
      <c r="F175" s="652"/>
      <c r="G175" s="652"/>
      <c r="H175" s="652"/>
      <c r="I175" s="652"/>
      <c r="J175" s="652"/>
      <c r="K175" s="652"/>
      <c r="L175" s="657"/>
      <c r="M175" s="657"/>
      <c r="N175" s="657"/>
      <c r="O175" s="652"/>
      <c r="P175" s="652"/>
      <c r="Q175" s="652"/>
      <c r="R175" s="652"/>
      <c r="S175" s="652"/>
      <c r="T175" s="657"/>
      <c r="U175" s="657"/>
      <c r="V175" s="657"/>
      <c r="W175" s="652"/>
      <c r="X175" s="652"/>
      <c r="Y175" s="652"/>
      <c r="Z175" s="652"/>
      <c r="AA175" s="652"/>
      <c r="AB175" s="652"/>
      <c r="AC175" s="652"/>
      <c r="AD175" s="652"/>
      <c r="AE175" s="709" t="str">
        <f>IFERROR(INDEX(Reit!I$8:I$64,MATCH(AF175,Reit!F$8:F$64,0)),"")</f>
        <v/>
      </c>
      <c r="AF175" s="710" t="str">
        <f t="shared" si="18"/>
        <v/>
      </c>
      <c r="AG175" s="709" t="str">
        <f>IFERROR(INDEX(Reit!I$8:I$64,MATCH(AH175,Reit!F$8:F$64,0)),"")</f>
        <v/>
      </c>
      <c r="AH175" s="710" t="str">
        <f t="shared" si="19"/>
        <v/>
      </c>
      <c r="AI175" s="709" t="str">
        <f>IFERROR(INDEX(Reit!I$8:I$64,MATCH(AJ175,Reit!F$8:F$64,0)),"")</f>
        <v/>
      </c>
      <c r="AJ175" s="710" t="str">
        <f t="shared" si="20"/>
        <v/>
      </c>
      <c r="AK175" s="709" t="str">
        <f>IFERROR(INDEX(Reit!I$8:I$64,MATCH(AL175,Reit!F$8:F$64,0)),"")</f>
        <v/>
      </c>
      <c r="AL175" s="710" t="str">
        <f t="shared" si="21"/>
        <v/>
      </c>
      <c r="AM175" s="652"/>
    </row>
    <row r="176" spans="1:39" hidden="1" x14ac:dyDescent="0.2">
      <c r="A176" s="652"/>
      <c r="B176" s="652"/>
      <c r="C176" s="652"/>
      <c r="D176" s="652"/>
      <c r="E176" s="652"/>
      <c r="F176" s="652"/>
      <c r="G176" s="652"/>
      <c r="H176" s="652"/>
      <c r="I176" s="652"/>
      <c r="J176" s="652"/>
      <c r="K176" s="652"/>
      <c r="L176" s="657"/>
      <c r="M176" s="657"/>
      <c r="N176" s="657"/>
      <c r="O176" s="652"/>
      <c r="P176" s="652"/>
      <c r="Q176" s="652"/>
      <c r="R176" s="652"/>
      <c r="S176" s="652"/>
      <c r="T176" s="657"/>
      <c r="U176" s="657"/>
      <c r="V176" s="657"/>
      <c r="W176" s="652"/>
      <c r="X176" s="652"/>
      <c r="Y176" s="652"/>
      <c r="Z176" s="652"/>
      <c r="AA176" s="652"/>
      <c r="AB176" s="652"/>
      <c r="AC176" s="652"/>
      <c r="AD176" s="652"/>
      <c r="AE176" s="709" t="str">
        <f>IFERROR(INDEX(Reit!I$8:I$64,MATCH(AF176,Reit!F$8:F$64,0)),"")</f>
        <v/>
      </c>
      <c r="AF176" s="710" t="str">
        <f t="shared" si="18"/>
        <v/>
      </c>
      <c r="AG176" s="709" t="str">
        <f>IFERROR(INDEX(Reit!I$8:I$64,MATCH(AH176,Reit!F$8:F$64,0)),"")</f>
        <v/>
      </c>
      <c r="AH176" s="710" t="str">
        <f t="shared" si="19"/>
        <v/>
      </c>
      <c r="AI176" s="709" t="str">
        <f>IFERROR(INDEX(Reit!I$8:I$64,MATCH(AJ176,Reit!F$8:F$64,0)),"")</f>
        <v/>
      </c>
      <c r="AJ176" s="710" t="str">
        <f t="shared" si="20"/>
        <v/>
      </c>
      <c r="AK176" s="709" t="str">
        <f>IFERROR(INDEX(Reit!I$8:I$64,MATCH(AL176,Reit!F$8:F$64,0)),"")</f>
        <v/>
      </c>
      <c r="AL176" s="710" t="str">
        <f t="shared" si="21"/>
        <v/>
      </c>
      <c r="AM176" s="652"/>
    </row>
    <row r="177" spans="1:39" hidden="1" x14ac:dyDescent="0.2">
      <c r="A177" s="652"/>
      <c r="B177" s="652"/>
      <c r="C177" s="652"/>
      <c r="D177" s="652"/>
      <c r="E177" s="652"/>
      <c r="F177" s="652"/>
      <c r="G177" s="652"/>
      <c r="H177" s="652"/>
      <c r="I177" s="652"/>
      <c r="J177" s="652"/>
      <c r="K177" s="652"/>
      <c r="L177" s="657"/>
      <c r="M177" s="657"/>
      <c r="N177" s="657"/>
      <c r="O177" s="652"/>
      <c r="P177" s="652"/>
      <c r="Q177" s="652"/>
      <c r="R177" s="652"/>
      <c r="S177" s="652"/>
      <c r="T177" s="657"/>
      <c r="U177" s="657"/>
      <c r="V177" s="657"/>
      <c r="W177" s="652"/>
      <c r="X177" s="652"/>
      <c r="Y177" s="652"/>
      <c r="Z177" s="652"/>
      <c r="AA177" s="652"/>
      <c r="AB177" s="652"/>
      <c r="AC177" s="652"/>
      <c r="AD177" s="652"/>
      <c r="AE177" s="709" t="str">
        <f>IFERROR(INDEX(Reit!I$8:I$64,MATCH(AF177,Reit!F$8:F$64,0)),"")</f>
        <v/>
      </c>
      <c r="AF177" s="710" t="str">
        <f t="shared" si="18"/>
        <v/>
      </c>
      <c r="AG177" s="709" t="str">
        <f>IFERROR(INDEX(Reit!I$8:I$64,MATCH(AH177,Reit!F$8:F$64,0)),"")</f>
        <v/>
      </c>
      <c r="AH177" s="710" t="str">
        <f t="shared" si="19"/>
        <v/>
      </c>
      <c r="AI177" s="709" t="str">
        <f>IFERROR(INDEX(Reit!I$8:I$64,MATCH(AJ177,Reit!F$8:F$64,0)),"")</f>
        <v/>
      </c>
      <c r="AJ177" s="710" t="str">
        <f t="shared" si="20"/>
        <v/>
      </c>
      <c r="AK177" s="709" t="str">
        <f>IFERROR(INDEX(Reit!I$8:I$64,MATCH(AL177,Reit!F$8:F$64,0)),"")</f>
        <v/>
      </c>
      <c r="AL177" s="710" t="str">
        <f t="shared" si="21"/>
        <v/>
      </c>
      <c r="AM177" s="652"/>
    </row>
    <row r="178" spans="1:39" hidden="1" x14ac:dyDescent="0.2">
      <c r="A178" s="652"/>
      <c r="B178" s="652"/>
      <c r="C178" s="652"/>
      <c r="D178" s="652"/>
      <c r="E178" s="652"/>
      <c r="F178" s="652"/>
      <c r="G178" s="652"/>
      <c r="H178" s="652"/>
      <c r="I178" s="652"/>
      <c r="J178" s="652"/>
      <c r="K178" s="652"/>
      <c r="L178" s="657"/>
      <c r="M178" s="657"/>
      <c r="N178" s="657"/>
      <c r="O178" s="652"/>
      <c r="P178" s="652"/>
      <c r="Q178" s="652"/>
      <c r="R178" s="652"/>
      <c r="S178" s="652"/>
      <c r="T178" s="657"/>
      <c r="U178" s="657"/>
      <c r="V178" s="657"/>
      <c r="W178" s="652"/>
      <c r="X178" s="652"/>
      <c r="Y178" s="652"/>
      <c r="Z178" s="652"/>
      <c r="AA178" s="652"/>
      <c r="AB178" s="652"/>
      <c r="AC178" s="652"/>
      <c r="AD178" s="652"/>
      <c r="AE178" s="709" t="str">
        <f>IFERROR(INDEX(Reit!I$8:I$64,MATCH(AF178,Reit!F$8:F$64,0)),"")</f>
        <v/>
      </c>
      <c r="AF178" s="710" t="str">
        <f t="shared" si="18"/>
        <v/>
      </c>
      <c r="AG178" s="709" t="str">
        <f>IFERROR(INDEX(Reit!I$8:I$64,MATCH(AH178,Reit!F$8:F$64,0)),"")</f>
        <v/>
      </c>
      <c r="AH178" s="710" t="str">
        <f t="shared" si="19"/>
        <v/>
      </c>
      <c r="AI178" s="709" t="str">
        <f>IFERROR(INDEX(Reit!I$8:I$64,MATCH(AJ178,Reit!F$8:F$64,0)),"")</f>
        <v/>
      </c>
      <c r="AJ178" s="710" t="str">
        <f t="shared" si="20"/>
        <v/>
      </c>
      <c r="AK178" s="709" t="str">
        <f>IFERROR(INDEX(Reit!I$8:I$64,MATCH(AL178,Reit!F$8:F$64,0)),"")</f>
        <v/>
      </c>
      <c r="AL178" s="710" t="str">
        <f t="shared" si="21"/>
        <v/>
      </c>
      <c r="AM178" s="652"/>
    </row>
    <row r="179" spans="1:39" hidden="1" x14ac:dyDescent="0.2">
      <c r="A179" s="652"/>
      <c r="B179" s="652"/>
      <c r="C179" s="652"/>
      <c r="D179" s="652"/>
      <c r="E179" s="652"/>
      <c r="F179" s="652"/>
      <c r="G179" s="652"/>
      <c r="H179" s="652"/>
      <c r="I179" s="652"/>
      <c r="J179" s="652"/>
      <c r="K179" s="652"/>
      <c r="L179" s="657"/>
      <c r="M179" s="657"/>
      <c r="N179" s="657"/>
      <c r="O179" s="652"/>
      <c r="P179" s="652"/>
      <c r="Q179" s="652"/>
      <c r="R179" s="652"/>
      <c r="S179" s="652"/>
      <c r="T179" s="657"/>
      <c r="U179" s="657"/>
      <c r="V179" s="657"/>
      <c r="W179" s="652"/>
      <c r="X179" s="652"/>
      <c r="Y179" s="652"/>
      <c r="Z179" s="652"/>
      <c r="AA179" s="652"/>
      <c r="AB179" s="652"/>
      <c r="AC179" s="652"/>
      <c r="AD179" s="652"/>
      <c r="AE179" s="709" t="str">
        <f>IFERROR(INDEX(Reit!I$8:I$64,MATCH(AF179,Reit!F$8:F$64,0)),"")</f>
        <v/>
      </c>
      <c r="AF179" s="710" t="str">
        <f t="shared" si="18"/>
        <v/>
      </c>
      <c r="AG179" s="709" t="str">
        <f>IFERROR(INDEX(Reit!I$8:I$64,MATCH(AH179,Reit!F$8:F$64,0)),"")</f>
        <v/>
      </c>
      <c r="AH179" s="710" t="str">
        <f t="shared" si="19"/>
        <v/>
      </c>
      <c r="AI179" s="709" t="str">
        <f>IFERROR(INDEX(Reit!I$8:I$64,MATCH(AJ179,Reit!F$8:F$64,0)),"")</f>
        <v/>
      </c>
      <c r="AJ179" s="710" t="str">
        <f t="shared" si="20"/>
        <v/>
      </c>
      <c r="AK179" s="709" t="str">
        <f>IFERROR(INDEX(Reit!I$8:I$64,MATCH(AL179,Reit!F$8:F$64,0)),"")</f>
        <v/>
      </c>
      <c r="AL179" s="710" t="str">
        <f t="shared" si="21"/>
        <v/>
      </c>
      <c r="AM179" s="652"/>
    </row>
    <row r="180" spans="1:39" hidden="1" x14ac:dyDescent="0.2">
      <c r="A180" s="652"/>
      <c r="B180" s="652"/>
      <c r="C180" s="652"/>
      <c r="D180" s="652"/>
      <c r="E180" s="652"/>
      <c r="F180" s="652"/>
      <c r="G180" s="652"/>
      <c r="H180" s="652"/>
      <c r="I180" s="652"/>
      <c r="J180" s="652"/>
      <c r="K180" s="652"/>
      <c r="L180" s="657"/>
      <c r="M180" s="657"/>
      <c r="N180" s="657"/>
      <c r="O180" s="652"/>
      <c r="P180" s="652"/>
      <c r="Q180" s="652"/>
      <c r="R180" s="652"/>
      <c r="S180" s="652"/>
      <c r="T180" s="657"/>
      <c r="U180" s="657"/>
      <c r="V180" s="657"/>
      <c r="W180" s="652"/>
      <c r="X180" s="652"/>
      <c r="Y180" s="652"/>
      <c r="Z180" s="652"/>
      <c r="AA180" s="652"/>
      <c r="AB180" s="652"/>
      <c r="AC180" s="652"/>
      <c r="AD180" s="652"/>
      <c r="AE180" s="709" t="str">
        <f>IFERROR(INDEX(Reit!I$8:I$64,MATCH(AF180,Reit!F$8:F$64,0)),"")</f>
        <v/>
      </c>
      <c r="AF180" s="710" t="str">
        <f t="shared" si="18"/>
        <v/>
      </c>
      <c r="AG180" s="709" t="str">
        <f>IFERROR(INDEX(Reit!I$8:I$64,MATCH(AH180,Reit!F$8:F$64,0)),"")</f>
        <v/>
      </c>
      <c r="AH180" s="710" t="str">
        <f t="shared" si="19"/>
        <v/>
      </c>
      <c r="AI180" s="709" t="str">
        <f>IFERROR(INDEX(Reit!I$8:I$64,MATCH(AJ180,Reit!F$8:F$64,0)),"")</f>
        <v/>
      </c>
      <c r="AJ180" s="710" t="str">
        <f t="shared" si="20"/>
        <v/>
      </c>
      <c r="AK180" s="709" t="str">
        <f>IFERROR(INDEX(Reit!I$8:I$64,MATCH(AL180,Reit!F$8:F$64,0)),"")</f>
        <v/>
      </c>
      <c r="AL180" s="710" t="str">
        <f t="shared" si="21"/>
        <v/>
      </c>
      <c r="AM180" s="652"/>
    </row>
    <row r="181" spans="1:39" hidden="1" x14ac:dyDescent="0.2">
      <c r="A181" s="652"/>
      <c r="B181" s="652"/>
      <c r="C181" s="652"/>
      <c r="D181" s="652"/>
      <c r="E181" s="652"/>
      <c r="F181" s="652"/>
      <c r="G181" s="652"/>
      <c r="H181" s="652"/>
      <c r="I181" s="652"/>
      <c r="J181" s="652"/>
      <c r="K181" s="652"/>
      <c r="L181" s="657"/>
      <c r="M181" s="657"/>
      <c r="N181" s="657"/>
      <c r="O181" s="652"/>
      <c r="P181" s="652"/>
      <c r="Q181" s="652"/>
      <c r="R181" s="652"/>
      <c r="S181" s="652"/>
      <c r="T181" s="657"/>
      <c r="U181" s="657"/>
      <c r="V181" s="657"/>
      <c r="W181" s="652"/>
      <c r="X181" s="652"/>
      <c r="Y181" s="652"/>
      <c r="Z181" s="652"/>
      <c r="AA181" s="652"/>
      <c r="AB181" s="652"/>
      <c r="AC181" s="652"/>
      <c r="AD181" s="652"/>
      <c r="AE181" s="709" t="str">
        <f>IFERROR(INDEX(Reit!I$8:I$64,MATCH(AF181,Reit!F$8:F$64,0)),"")</f>
        <v/>
      </c>
      <c r="AF181" s="710" t="str">
        <f t="shared" si="18"/>
        <v/>
      </c>
      <c r="AG181" s="709" t="str">
        <f>IFERROR(INDEX(Reit!I$8:I$64,MATCH(AH181,Reit!F$8:F$64,0)),"")</f>
        <v/>
      </c>
      <c r="AH181" s="710" t="str">
        <f t="shared" si="19"/>
        <v/>
      </c>
      <c r="AI181" s="709" t="str">
        <f>IFERROR(INDEX(Reit!I$8:I$64,MATCH(AJ181,Reit!F$8:F$64,0)),"")</f>
        <v/>
      </c>
      <c r="AJ181" s="710" t="str">
        <f t="shared" si="20"/>
        <v/>
      </c>
      <c r="AK181" s="709" t="str">
        <f>IFERROR(INDEX(Reit!I$8:I$64,MATCH(AL181,Reit!F$8:F$64,0)),"")</f>
        <v/>
      </c>
      <c r="AL181" s="710" t="str">
        <f t="shared" si="21"/>
        <v/>
      </c>
      <c r="AM181" s="652"/>
    </row>
    <row r="182" spans="1:39" hidden="1" x14ac:dyDescent="0.2">
      <c r="A182" s="652"/>
      <c r="B182" s="652"/>
      <c r="C182" s="652"/>
      <c r="D182" s="652"/>
      <c r="E182" s="652"/>
      <c r="F182" s="652"/>
      <c r="G182" s="652"/>
      <c r="H182" s="652"/>
      <c r="I182" s="652"/>
      <c r="J182" s="652"/>
      <c r="K182" s="652"/>
      <c r="L182" s="657"/>
      <c r="M182" s="657"/>
      <c r="N182" s="657"/>
      <c r="O182" s="652"/>
      <c r="P182" s="652"/>
      <c r="Q182" s="652"/>
      <c r="R182" s="652"/>
      <c r="S182" s="652"/>
      <c r="T182" s="657"/>
      <c r="U182" s="657"/>
      <c r="V182" s="657"/>
      <c r="W182" s="652"/>
      <c r="X182" s="652"/>
      <c r="Y182" s="652"/>
      <c r="Z182" s="652"/>
      <c r="AA182" s="652"/>
      <c r="AB182" s="652"/>
      <c r="AC182" s="652"/>
      <c r="AD182" s="652"/>
      <c r="AE182" s="709" t="str">
        <f>IFERROR(INDEX(Reit!I$8:I$64,MATCH(AF182,Reit!F$8:F$64,0)),"")</f>
        <v/>
      </c>
      <c r="AF182" s="710" t="str">
        <f t="shared" si="18"/>
        <v/>
      </c>
      <c r="AG182" s="709" t="str">
        <f>IFERROR(INDEX(Reit!I$8:I$64,MATCH(AH182,Reit!F$8:F$64,0)),"")</f>
        <v/>
      </c>
      <c r="AH182" s="710" t="str">
        <f t="shared" si="19"/>
        <v/>
      </c>
      <c r="AI182" s="709" t="str">
        <f>IFERROR(INDEX(Reit!I$8:I$64,MATCH(AJ182,Reit!F$8:F$64,0)),"")</f>
        <v/>
      </c>
      <c r="AJ182" s="710" t="str">
        <f t="shared" si="20"/>
        <v/>
      </c>
      <c r="AK182" s="709" t="str">
        <f>IFERROR(INDEX(Reit!I$8:I$64,MATCH(AL182,Reit!F$8:F$64,0)),"")</f>
        <v/>
      </c>
      <c r="AL182" s="710" t="str">
        <f t="shared" si="21"/>
        <v/>
      </c>
      <c r="AM182" s="652"/>
    </row>
    <row r="183" spans="1:39" hidden="1" x14ac:dyDescent="0.2">
      <c r="A183" s="652"/>
      <c r="B183" s="652"/>
      <c r="C183" s="652"/>
      <c r="D183" s="652"/>
      <c r="E183" s="652"/>
      <c r="F183" s="652"/>
      <c r="G183" s="652"/>
      <c r="H183" s="652"/>
      <c r="I183" s="652"/>
      <c r="J183" s="652"/>
      <c r="K183" s="652"/>
      <c r="L183" s="657"/>
      <c r="M183" s="657"/>
      <c r="N183" s="657"/>
      <c r="O183" s="652"/>
      <c r="P183" s="652"/>
      <c r="Q183" s="652"/>
      <c r="R183" s="652"/>
      <c r="S183" s="652"/>
      <c r="T183" s="657"/>
      <c r="U183" s="657"/>
      <c r="V183" s="657"/>
      <c r="W183" s="652"/>
      <c r="X183" s="652"/>
      <c r="Y183" s="652"/>
      <c r="Z183" s="652"/>
      <c r="AA183" s="652"/>
      <c r="AB183" s="652"/>
      <c r="AC183" s="652"/>
      <c r="AD183" s="652"/>
      <c r="AE183" s="709" t="str">
        <f>IFERROR(INDEX(Reit!I$8:I$64,MATCH(AF183,Reit!F$8:F$64,0)),"")</f>
        <v/>
      </c>
      <c r="AF183" s="710" t="str">
        <f t="shared" si="18"/>
        <v/>
      </c>
      <c r="AG183" s="709" t="str">
        <f>IFERROR(INDEX(Reit!I$8:I$64,MATCH(AH183,Reit!F$8:F$64,0)),"")</f>
        <v/>
      </c>
      <c r="AH183" s="710" t="str">
        <f t="shared" si="19"/>
        <v/>
      </c>
      <c r="AI183" s="709" t="str">
        <f>IFERROR(INDEX(Reit!I$8:I$64,MATCH(AJ183,Reit!F$8:F$64,0)),"")</f>
        <v/>
      </c>
      <c r="AJ183" s="710" t="str">
        <f t="shared" si="20"/>
        <v/>
      </c>
      <c r="AK183" s="709" t="str">
        <f>IFERROR(INDEX(Reit!I$8:I$64,MATCH(AL183,Reit!F$8:F$64,0)),"")</f>
        <v/>
      </c>
      <c r="AL183" s="710" t="str">
        <f t="shared" si="21"/>
        <v/>
      </c>
      <c r="AM183" s="652"/>
    </row>
    <row r="184" spans="1:39" hidden="1" x14ac:dyDescent="0.2">
      <c r="A184" s="652"/>
      <c r="B184" s="652"/>
      <c r="C184" s="652"/>
      <c r="D184" s="652"/>
      <c r="E184" s="652"/>
      <c r="F184" s="652"/>
      <c r="G184" s="652"/>
      <c r="H184" s="652"/>
      <c r="I184" s="652"/>
      <c r="J184" s="652"/>
      <c r="K184" s="652"/>
      <c r="L184" s="657"/>
      <c r="M184" s="657"/>
      <c r="N184" s="657"/>
      <c r="O184" s="652"/>
      <c r="P184" s="652"/>
      <c r="Q184" s="652"/>
      <c r="R184" s="652"/>
      <c r="S184" s="652"/>
      <c r="T184" s="657"/>
      <c r="U184" s="657"/>
      <c r="V184" s="657"/>
      <c r="W184" s="652"/>
      <c r="X184" s="652"/>
      <c r="Y184" s="652"/>
      <c r="Z184" s="652"/>
      <c r="AA184" s="652"/>
      <c r="AB184" s="652"/>
      <c r="AC184" s="652"/>
      <c r="AD184" s="652"/>
      <c r="AE184" s="709" t="str">
        <f>IFERROR(INDEX(Reit!I$8:I$64,MATCH(AF184,Reit!F$8:F$64,0)),"")</f>
        <v/>
      </c>
      <c r="AF184" s="710" t="str">
        <f t="shared" si="18"/>
        <v/>
      </c>
      <c r="AG184" s="709" t="str">
        <f>IFERROR(INDEX(Reit!I$8:I$64,MATCH(AH184,Reit!F$8:F$64,0)),"")</f>
        <v/>
      </c>
      <c r="AH184" s="710" t="str">
        <f t="shared" si="19"/>
        <v/>
      </c>
      <c r="AI184" s="709" t="str">
        <f>IFERROR(INDEX(Reit!I$8:I$64,MATCH(AJ184,Reit!F$8:F$64,0)),"")</f>
        <v/>
      </c>
      <c r="AJ184" s="710" t="str">
        <f t="shared" si="20"/>
        <v/>
      </c>
      <c r="AK184" s="709" t="str">
        <f>IFERROR(INDEX(Reit!I$8:I$64,MATCH(AL184,Reit!F$8:F$64,0)),"")</f>
        <v/>
      </c>
      <c r="AL184" s="710" t="str">
        <f t="shared" si="21"/>
        <v/>
      </c>
      <c r="AM184" s="652"/>
    </row>
    <row r="185" spans="1:39" hidden="1" x14ac:dyDescent="0.2">
      <c r="A185" s="652"/>
      <c r="B185" s="652"/>
      <c r="C185" s="652"/>
      <c r="D185" s="652"/>
      <c r="E185" s="652"/>
      <c r="F185" s="652"/>
      <c r="G185" s="652"/>
      <c r="H185" s="652"/>
      <c r="I185" s="652"/>
      <c r="J185" s="652"/>
      <c r="K185" s="652"/>
      <c r="L185" s="657"/>
      <c r="M185" s="657"/>
      <c r="N185" s="657"/>
      <c r="O185" s="652"/>
      <c r="P185" s="652"/>
      <c r="Q185" s="652"/>
      <c r="R185" s="652"/>
      <c r="S185" s="652"/>
      <c r="T185" s="657"/>
      <c r="U185" s="657"/>
      <c r="V185" s="657"/>
      <c r="W185" s="652"/>
      <c r="X185" s="652"/>
      <c r="Y185" s="652"/>
      <c r="Z185" s="652"/>
      <c r="AA185" s="652"/>
      <c r="AB185" s="652"/>
      <c r="AC185" s="652"/>
      <c r="AD185" s="652"/>
      <c r="AE185" s="709" t="str">
        <f>IFERROR(INDEX(Reit!I$8:I$64,MATCH(AF185,Reit!F$8:F$64,0)),"")</f>
        <v/>
      </c>
      <c r="AF185" s="710" t="str">
        <f t="shared" si="18"/>
        <v/>
      </c>
      <c r="AG185" s="709" t="str">
        <f>IFERROR(INDEX(Reit!I$8:I$64,MATCH(AH185,Reit!F$8:F$64,0)),"")</f>
        <v/>
      </c>
      <c r="AH185" s="710" t="str">
        <f t="shared" si="19"/>
        <v/>
      </c>
      <c r="AI185" s="709" t="str">
        <f>IFERROR(INDEX(Reit!I$8:I$64,MATCH(AJ185,Reit!F$8:F$64,0)),"")</f>
        <v/>
      </c>
      <c r="AJ185" s="710" t="str">
        <f t="shared" si="20"/>
        <v/>
      </c>
      <c r="AK185" s="709" t="str">
        <f>IFERROR(INDEX(Reit!I$8:I$64,MATCH(AL185,Reit!F$8:F$64,0)),"")</f>
        <v/>
      </c>
      <c r="AL185" s="710" t="str">
        <f t="shared" si="21"/>
        <v/>
      </c>
      <c r="AM185" s="652"/>
    </row>
    <row r="186" spans="1:39" hidden="1" x14ac:dyDescent="0.2">
      <c r="A186" s="652"/>
      <c r="B186" s="652"/>
      <c r="C186" s="652"/>
      <c r="D186" s="652"/>
      <c r="E186" s="652"/>
      <c r="F186" s="652"/>
      <c r="G186" s="652"/>
      <c r="H186" s="652"/>
      <c r="I186" s="652"/>
      <c r="J186" s="652"/>
      <c r="K186" s="652"/>
      <c r="L186" s="657"/>
      <c r="M186" s="657"/>
      <c r="N186" s="657"/>
      <c r="O186" s="652"/>
      <c r="P186" s="652"/>
      <c r="Q186" s="652"/>
      <c r="R186" s="652"/>
      <c r="S186" s="652"/>
      <c r="T186" s="657"/>
      <c r="U186" s="657"/>
      <c r="V186" s="657"/>
      <c r="W186" s="652"/>
      <c r="X186" s="652"/>
      <c r="Y186" s="652"/>
      <c r="Z186" s="652"/>
      <c r="AA186" s="652"/>
      <c r="AB186" s="652"/>
      <c r="AC186" s="652"/>
      <c r="AD186" s="652"/>
      <c r="AE186" s="709" t="str">
        <f>IFERROR(INDEX(Reit!I$8:I$64,MATCH(AF186,Reit!F$8:F$64,0)),"")</f>
        <v/>
      </c>
      <c r="AF186" s="710" t="str">
        <f t="shared" si="18"/>
        <v/>
      </c>
      <c r="AG186" s="709" t="str">
        <f>IFERROR(INDEX(Reit!I$8:I$64,MATCH(AH186,Reit!F$8:F$64,0)),"")</f>
        <v/>
      </c>
      <c r="AH186" s="710" t="str">
        <f t="shared" si="19"/>
        <v/>
      </c>
      <c r="AI186" s="709" t="str">
        <f>IFERROR(INDEX(Reit!I$8:I$64,MATCH(AJ186,Reit!F$8:F$64,0)),"")</f>
        <v/>
      </c>
      <c r="AJ186" s="710" t="str">
        <f t="shared" si="20"/>
        <v/>
      </c>
      <c r="AK186" s="709" t="str">
        <f>IFERROR(INDEX(Reit!I$8:I$64,MATCH(AL186,Reit!F$8:F$64,0)),"")</f>
        <v/>
      </c>
      <c r="AL186" s="710" t="str">
        <f t="shared" si="21"/>
        <v/>
      </c>
      <c r="AM186" s="652"/>
    </row>
    <row r="187" spans="1:39" hidden="1" x14ac:dyDescent="0.2">
      <c r="A187" s="652"/>
      <c r="B187" s="652"/>
      <c r="C187" s="652"/>
      <c r="D187" s="652"/>
      <c r="E187" s="652"/>
      <c r="F187" s="652"/>
      <c r="G187" s="652"/>
      <c r="H187" s="652"/>
      <c r="I187" s="652"/>
      <c r="J187" s="652"/>
      <c r="K187" s="652"/>
      <c r="L187" s="657"/>
      <c r="M187" s="657"/>
      <c r="N187" s="657"/>
      <c r="O187" s="652"/>
      <c r="P187" s="652"/>
      <c r="Q187" s="652"/>
      <c r="R187" s="652"/>
      <c r="S187" s="652"/>
      <c r="T187" s="657"/>
      <c r="U187" s="657"/>
      <c r="V187" s="657"/>
      <c r="W187" s="652"/>
      <c r="X187" s="652"/>
      <c r="Y187" s="652"/>
      <c r="Z187" s="652"/>
      <c r="AA187" s="652"/>
      <c r="AB187" s="652"/>
      <c r="AC187" s="652"/>
      <c r="AD187" s="652"/>
      <c r="AE187" s="709" t="str">
        <f>IFERROR(INDEX(Reit!I$8:I$64,MATCH(AF187,Reit!F$8:F$64,0)),"")</f>
        <v/>
      </c>
      <c r="AF187" s="710" t="str">
        <f t="shared" si="18"/>
        <v/>
      </c>
      <c r="AG187" s="709" t="str">
        <f>IFERROR(INDEX(Reit!I$8:I$64,MATCH(AH187,Reit!F$8:F$64,0)),"")</f>
        <v/>
      </c>
      <c r="AH187" s="710" t="str">
        <f t="shared" si="19"/>
        <v/>
      </c>
      <c r="AI187" s="709" t="str">
        <f>IFERROR(INDEX(Reit!I$8:I$64,MATCH(AJ187,Reit!F$8:F$64,0)),"")</f>
        <v/>
      </c>
      <c r="AJ187" s="710" t="str">
        <f t="shared" si="20"/>
        <v/>
      </c>
      <c r="AK187" s="709" t="str">
        <f>IFERROR(INDEX(Reit!I$8:I$64,MATCH(AL187,Reit!F$8:F$64,0)),"")</f>
        <v/>
      </c>
      <c r="AL187" s="710" t="str">
        <f t="shared" si="21"/>
        <v/>
      </c>
      <c r="AM187" s="652"/>
    </row>
    <row r="188" spans="1:39" hidden="1" x14ac:dyDescent="0.2">
      <c r="A188" s="652"/>
      <c r="B188" s="652"/>
      <c r="C188" s="652"/>
      <c r="D188" s="652"/>
      <c r="E188" s="652"/>
      <c r="F188" s="652"/>
      <c r="G188" s="652"/>
      <c r="H188" s="652"/>
      <c r="I188" s="652"/>
      <c r="J188" s="652"/>
      <c r="K188" s="652"/>
      <c r="L188" s="657"/>
      <c r="M188" s="657"/>
      <c r="N188" s="657"/>
      <c r="O188" s="652"/>
      <c r="P188" s="652"/>
      <c r="Q188" s="652"/>
      <c r="R188" s="652"/>
      <c r="S188" s="652"/>
      <c r="T188" s="657"/>
      <c r="U188" s="657"/>
      <c r="V188" s="657"/>
      <c r="W188" s="652"/>
      <c r="X188" s="652"/>
      <c r="Y188" s="652"/>
      <c r="Z188" s="652"/>
      <c r="AA188" s="652"/>
      <c r="AB188" s="652"/>
      <c r="AC188" s="652"/>
      <c r="AD188" s="652"/>
      <c r="AE188" s="709" t="str">
        <f>IFERROR(INDEX(Reit!I$8:I$64,MATCH(AF188,Reit!F$8:F$64,0)),"")</f>
        <v/>
      </c>
      <c r="AF188" s="710" t="str">
        <f t="shared" si="18"/>
        <v/>
      </c>
      <c r="AG188" s="709" t="str">
        <f>IFERROR(INDEX(Reit!I$8:I$64,MATCH(AH188,Reit!F$8:F$64,0)),"")</f>
        <v/>
      </c>
      <c r="AH188" s="710" t="str">
        <f t="shared" si="19"/>
        <v/>
      </c>
      <c r="AI188" s="709" t="str">
        <f>IFERROR(INDEX(Reit!I$8:I$64,MATCH(AJ188,Reit!F$8:F$64,0)),"")</f>
        <v/>
      </c>
      <c r="AJ188" s="710" t="str">
        <f t="shared" si="20"/>
        <v/>
      </c>
      <c r="AK188" s="709" t="str">
        <f>IFERROR(INDEX(Reit!I$8:I$64,MATCH(AL188,Reit!F$8:F$64,0)),"")</f>
        <v/>
      </c>
      <c r="AL188" s="710" t="str">
        <f t="shared" si="21"/>
        <v/>
      </c>
      <c r="AM188" s="652"/>
    </row>
    <row r="189" spans="1:39" hidden="1" x14ac:dyDescent="0.2">
      <c r="A189" s="652"/>
      <c r="B189" s="652"/>
      <c r="C189" s="652"/>
      <c r="D189" s="652"/>
      <c r="E189" s="652"/>
      <c r="F189" s="652"/>
      <c r="G189" s="652"/>
      <c r="H189" s="652"/>
      <c r="I189" s="652"/>
      <c r="J189" s="652"/>
      <c r="K189" s="652"/>
      <c r="L189" s="657"/>
      <c r="M189" s="657"/>
      <c r="N189" s="657"/>
      <c r="O189" s="652"/>
      <c r="P189" s="652"/>
      <c r="Q189" s="652"/>
      <c r="R189" s="652"/>
      <c r="S189" s="652"/>
      <c r="T189" s="657"/>
      <c r="U189" s="657"/>
      <c r="V189" s="657"/>
      <c r="W189" s="652"/>
      <c r="X189" s="652"/>
      <c r="Y189" s="652"/>
      <c r="Z189" s="652"/>
      <c r="AA189" s="652"/>
      <c r="AB189" s="652"/>
      <c r="AC189" s="652"/>
      <c r="AD189" s="652"/>
      <c r="AE189" s="709" t="str">
        <f>IFERROR(INDEX(Reit!I$8:I$64,MATCH(AF189,Reit!F$8:F$64,0)),"")</f>
        <v/>
      </c>
      <c r="AF189" s="710" t="str">
        <f t="shared" si="18"/>
        <v/>
      </c>
      <c r="AG189" s="709" t="str">
        <f>IFERROR(INDEX(Reit!I$8:I$64,MATCH(AH189,Reit!F$8:F$64,0)),"")</f>
        <v/>
      </c>
      <c r="AH189" s="710" t="str">
        <f t="shared" si="19"/>
        <v/>
      </c>
      <c r="AI189" s="709" t="str">
        <f>IFERROR(INDEX(Reit!I$8:I$64,MATCH(AJ189,Reit!F$8:F$64,0)),"")</f>
        <v/>
      </c>
      <c r="AJ189" s="710" t="str">
        <f t="shared" si="20"/>
        <v/>
      </c>
      <c r="AK189" s="709" t="str">
        <f>IFERROR(INDEX(Reit!I$8:I$64,MATCH(AL189,Reit!F$8:F$64,0)),"")</f>
        <v/>
      </c>
      <c r="AL189" s="710" t="str">
        <f t="shared" si="21"/>
        <v/>
      </c>
      <c r="AM189" s="652"/>
    </row>
    <row r="190" spans="1:39" hidden="1" x14ac:dyDescent="0.2">
      <c r="A190" s="652"/>
      <c r="B190" s="652"/>
      <c r="C190" s="652"/>
      <c r="D190" s="652"/>
      <c r="E190" s="652"/>
      <c r="F190" s="652"/>
      <c r="G190" s="652"/>
      <c r="H190" s="652"/>
      <c r="I190" s="652"/>
      <c r="J190" s="652"/>
      <c r="K190" s="652"/>
      <c r="L190" s="657"/>
      <c r="M190" s="657"/>
      <c r="N190" s="657"/>
      <c r="O190" s="652"/>
      <c r="P190" s="652"/>
      <c r="Q190" s="652"/>
      <c r="R190" s="652"/>
      <c r="S190" s="652"/>
      <c r="T190" s="657"/>
      <c r="U190" s="657"/>
      <c r="V190" s="657"/>
      <c r="W190" s="652"/>
      <c r="X190" s="652"/>
      <c r="Y190" s="652"/>
      <c r="Z190" s="652"/>
      <c r="AA190" s="652"/>
      <c r="AB190" s="652"/>
      <c r="AC190" s="652"/>
      <c r="AD190" s="652"/>
      <c r="AE190" s="709" t="str">
        <f>IFERROR(INDEX(Reit!I$8:I$64,MATCH(AF190,Reit!F$8:F$64,0)),"")</f>
        <v/>
      </c>
      <c r="AF190" s="710" t="str">
        <f t="shared" si="18"/>
        <v/>
      </c>
      <c r="AG190" s="709" t="str">
        <f>IFERROR(INDEX(Reit!I$8:I$64,MATCH(AH190,Reit!F$8:F$64,0)),"")</f>
        <v/>
      </c>
      <c r="AH190" s="710" t="str">
        <f t="shared" si="19"/>
        <v/>
      </c>
      <c r="AI190" s="709" t="str">
        <f>IFERROR(INDEX(Reit!I$8:I$64,MATCH(AJ190,Reit!F$8:F$64,0)),"")</f>
        <v/>
      </c>
      <c r="AJ190" s="710" t="str">
        <f t="shared" si="20"/>
        <v/>
      </c>
      <c r="AK190" s="709" t="str">
        <f>IFERROR(INDEX(Reit!I$8:I$64,MATCH(AL190,Reit!F$8:F$64,0)),"")</f>
        <v/>
      </c>
      <c r="AL190" s="710" t="str">
        <f t="shared" si="21"/>
        <v/>
      </c>
      <c r="AM190" s="652"/>
    </row>
    <row r="191" spans="1:39" hidden="1" x14ac:dyDescent="0.2">
      <c r="A191" s="652"/>
      <c r="B191" s="652"/>
      <c r="C191" s="652"/>
      <c r="D191" s="652"/>
      <c r="E191" s="652"/>
      <c r="F191" s="652"/>
      <c r="G191" s="652"/>
      <c r="H191" s="652"/>
      <c r="I191" s="652"/>
      <c r="J191" s="652"/>
      <c r="K191" s="652"/>
      <c r="L191" s="657"/>
      <c r="M191" s="657"/>
      <c r="N191" s="657"/>
      <c r="O191" s="652"/>
      <c r="P191" s="652"/>
      <c r="Q191" s="652"/>
      <c r="R191" s="652"/>
      <c r="S191" s="652"/>
      <c r="T191" s="657"/>
      <c r="U191" s="657"/>
      <c r="V191" s="657"/>
      <c r="W191" s="652"/>
      <c r="X191" s="652"/>
      <c r="Y191" s="652"/>
      <c r="Z191" s="652"/>
      <c r="AA191" s="652"/>
      <c r="AB191" s="652"/>
      <c r="AC191" s="652"/>
      <c r="AD191" s="652"/>
      <c r="AE191" s="709" t="str">
        <f>IFERROR(INDEX(Reit!I$8:I$64,MATCH(AF191,Reit!F$8:F$64,0)),"")</f>
        <v/>
      </c>
      <c r="AF191" s="710" t="str">
        <f t="shared" si="18"/>
        <v/>
      </c>
      <c r="AG191" s="709" t="str">
        <f>IFERROR(INDEX(Reit!I$8:I$64,MATCH(AH191,Reit!F$8:F$64,0)),"")</f>
        <v/>
      </c>
      <c r="AH191" s="710" t="str">
        <f t="shared" si="19"/>
        <v/>
      </c>
      <c r="AI191" s="709" t="str">
        <f>IFERROR(INDEX(Reit!I$8:I$64,MATCH(AJ191,Reit!F$8:F$64,0)),"")</f>
        <v/>
      </c>
      <c r="AJ191" s="710" t="str">
        <f t="shared" si="20"/>
        <v/>
      </c>
      <c r="AK191" s="709" t="str">
        <f>IFERROR(INDEX(Reit!I$8:I$64,MATCH(AL191,Reit!F$8:F$64,0)),"")</f>
        <v/>
      </c>
      <c r="AL191" s="710" t="str">
        <f t="shared" si="21"/>
        <v/>
      </c>
      <c r="AM191" s="652"/>
    </row>
    <row r="192" spans="1:39" hidden="1" x14ac:dyDescent="0.2">
      <c r="A192" s="652"/>
      <c r="B192" s="652"/>
      <c r="C192" s="652"/>
      <c r="D192" s="652"/>
      <c r="E192" s="652"/>
      <c r="F192" s="652"/>
      <c r="G192" s="652"/>
      <c r="H192" s="652"/>
      <c r="I192" s="652"/>
      <c r="J192" s="652"/>
      <c r="K192" s="652"/>
      <c r="L192" s="657"/>
      <c r="M192" s="657"/>
      <c r="N192" s="657"/>
      <c r="O192" s="652"/>
      <c r="P192" s="652"/>
      <c r="Q192" s="652"/>
      <c r="R192" s="652"/>
      <c r="S192" s="652"/>
      <c r="T192" s="657"/>
      <c r="U192" s="657"/>
      <c r="V192" s="657"/>
      <c r="W192" s="652"/>
      <c r="X192" s="652"/>
      <c r="Y192" s="652"/>
      <c r="Z192" s="652"/>
      <c r="AA192" s="652"/>
      <c r="AB192" s="652"/>
      <c r="AC192" s="652"/>
      <c r="AD192" s="652"/>
      <c r="AE192" s="709" t="str">
        <f>IFERROR(INDEX(Reit!I$8:I$64,MATCH(AF192,Reit!F$8:F$64,0)),"")</f>
        <v/>
      </c>
      <c r="AF192" s="710" t="str">
        <f t="shared" si="18"/>
        <v/>
      </c>
      <c r="AG192" s="709" t="str">
        <f>IFERROR(INDEX(Reit!I$8:I$64,MATCH(AH192,Reit!F$8:F$64,0)),"")</f>
        <v/>
      </c>
      <c r="AH192" s="710" t="str">
        <f t="shared" si="19"/>
        <v/>
      </c>
      <c r="AI192" s="709" t="str">
        <f>IFERROR(INDEX(Reit!I$8:I$64,MATCH(AJ192,Reit!F$8:F$64,0)),"")</f>
        <v/>
      </c>
      <c r="AJ192" s="710" t="str">
        <f t="shared" si="20"/>
        <v/>
      </c>
      <c r="AK192" s="709" t="str">
        <f>IFERROR(INDEX(Reit!I$8:I$64,MATCH(AL192,Reit!F$8:F$64,0)),"")</f>
        <v/>
      </c>
      <c r="AL192" s="710" t="str">
        <f t="shared" si="21"/>
        <v/>
      </c>
      <c r="AM192" s="652"/>
    </row>
    <row r="193" spans="1:39" hidden="1" x14ac:dyDescent="0.2">
      <c r="A193" s="652"/>
      <c r="B193" s="652"/>
      <c r="C193" s="652"/>
      <c r="D193" s="652"/>
      <c r="E193" s="652"/>
      <c r="F193" s="652"/>
      <c r="G193" s="652"/>
      <c r="H193" s="652"/>
      <c r="I193" s="652"/>
      <c r="J193" s="652"/>
      <c r="K193" s="652"/>
      <c r="L193" s="657"/>
      <c r="M193" s="657"/>
      <c r="N193" s="657"/>
      <c r="O193" s="652"/>
      <c r="P193" s="652"/>
      <c r="Q193" s="652"/>
      <c r="R193" s="652"/>
      <c r="S193" s="652"/>
      <c r="T193" s="657"/>
      <c r="U193" s="657"/>
      <c r="V193" s="657"/>
      <c r="W193" s="652"/>
      <c r="X193" s="652"/>
      <c r="Y193" s="652"/>
      <c r="Z193" s="652"/>
      <c r="AA193" s="652"/>
      <c r="AB193" s="652"/>
      <c r="AC193" s="652"/>
      <c r="AD193" s="652"/>
      <c r="AE193" s="709" t="str">
        <f>IFERROR(INDEX(Reit!I$8:I$64,MATCH(AF193,Reit!F$8:F$64,0)),"")</f>
        <v/>
      </c>
      <c r="AF193" s="710" t="str">
        <f t="shared" si="18"/>
        <v/>
      </c>
      <c r="AG193" s="709" t="str">
        <f>IFERROR(INDEX(Reit!I$8:I$64,MATCH(AH193,Reit!F$8:F$64,0)),"")</f>
        <v/>
      </c>
      <c r="AH193" s="710" t="str">
        <f t="shared" si="19"/>
        <v/>
      </c>
      <c r="AI193" s="709" t="str">
        <f>IFERROR(INDEX(Reit!I$8:I$64,MATCH(AJ193,Reit!F$8:F$64,0)),"")</f>
        <v/>
      </c>
      <c r="AJ193" s="710" t="str">
        <f t="shared" si="20"/>
        <v/>
      </c>
      <c r="AK193" s="709" t="str">
        <f>IFERROR(INDEX(Reit!I$8:I$64,MATCH(AL193,Reit!F$8:F$64,0)),"")</f>
        <v/>
      </c>
      <c r="AL193" s="710" t="str">
        <f t="shared" si="21"/>
        <v/>
      </c>
      <c r="AM193" s="652"/>
    </row>
    <row r="194" spans="1:39" hidden="1" x14ac:dyDescent="0.2">
      <c r="A194" s="652"/>
      <c r="B194" s="652"/>
      <c r="C194" s="652"/>
      <c r="D194" s="652"/>
      <c r="E194" s="652"/>
      <c r="F194" s="652"/>
      <c r="G194" s="652"/>
      <c r="H194" s="652"/>
      <c r="I194" s="652"/>
      <c r="J194" s="652"/>
      <c r="K194" s="652"/>
      <c r="L194" s="657"/>
      <c r="M194" s="657"/>
      <c r="N194" s="657"/>
      <c r="O194" s="652"/>
      <c r="P194" s="652"/>
      <c r="Q194" s="652"/>
      <c r="R194" s="652"/>
      <c r="S194" s="652"/>
      <c r="T194" s="657"/>
      <c r="U194" s="657"/>
      <c r="V194" s="657"/>
      <c r="W194" s="652"/>
      <c r="X194" s="652"/>
      <c r="Y194" s="652"/>
      <c r="Z194" s="652"/>
      <c r="AA194" s="652"/>
      <c r="AB194" s="652"/>
      <c r="AC194" s="652"/>
      <c r="AD194" s="652"/>
      <c r="AE194" s="709" t="str">
        <f>IFERROR(INDEX(Reit!I$8:I$64,MATCH(AF194,Reit!F$8:F$64,0)),"")</f>
        <v/>
      </c>
      <c r="AF194" s="710" t="str">
        <f t="shared" si="18"/>
        <v/>
      </c>
      <c r="AG194" s="709" t="str">
        <f>IFERROR(INDEX(Reit!I$8:I$64,MATCH(AH194,Reit!F$8:F$64,0)),"")</f>
        <v/>
      </c>
      <c r="AH194" s="710" t="str">
        <f t="shared" si="19"/>
        <v/>
      </c>
      <c r="AI194" s="709" t="str">
        <f>IFERROR(INDEX(Reit!I$8:I$64,MATCH(AJ194,Reit!F$8:F$64,0)),"")</f>
        <v/>
      </c>
      <c r="AJ194" s="710" t="str">
        <f t="shared" si="20"/>
        <v/>
      </c>
      <c r="AK194" s="709" t="str">
        <f>IFERROR(INDEX(Reit!I$8:I$64,MATCH(AL194,Reit!F$8:F$64,0)),"")</f>
        <v/>
      </c>
      <c r="AL194" s="710" t="str">
        <f t="shared" si="21"/>
        <v/>
      </c>
      <c r="AM194" s="652"/>
    </row>
    <row r="195" spans="1:39" hidden="1" x14ac:dyDescent="0.2">
      <c r="A195" s="652"/>
      <c r="B195" s="652"/>
      <c r="C195" s="652"/>
      <c r="D195" s="652"/>
      <c r="E195" s="652"/>
      <c r="F195" s="652"/>
      <c r="G195" s="652"/>
      <c r="H195" s="652"/>
      <c r="I195" s="652"/>
      <c r="J195" s="652"/>
      <c r="K195" s="652"/>
      <c r="L195" s="657"/>
      <c r="M195" s="657"/>
      <c r="N195" s="657"/>
      <c r="O195" s="652"/>
      <c r="P195" s="652"/>
      <c r="Q195" s="652"/>
      <c r="R195" s="652"/>
      <c r="S195" s="652"/>
      <c r="T195" s="657"/>
      <c r="U195" s="657"/>
      <c r="V195" s="657"/>
      <c r="W195" s="652"/>
      <c r="X195" s="652"/>
      <c r="Y195" s="652"/>
      <c r="Z195" s="652"/>
      <c r="AA195" s="652"/>
      <c r="AB195" s="652"/>
      <c r="AC195" s="652"/>
      <c r="AD195" s="652"/>
      <c r="AE195" s="709" t="str">
        <f>IFERROR(INDEX(Reit!I$8:I$64,MATCH(AF195,Reit!F$8:F$64,0)),"")</f>
        <v/>
      </c>
      <c r="AF195" s="710" t="str">
        <f t="shared" si="18"/>
        <v/>
      </c>
      <c r="AG195" s="709" t="str">
        <f>IFERROR(INDEX(Reit!I$8:I$64,MATCH(AH195,Reit!F$8:F$64,0)),"")</f>
        <v/>
      </c>
      <c r="AH195" s="710" t="str">
        <f t="shared" si="19"/>
        <v/>
      </c>
      <c r="AI195" s="709" t="str">
        <f>IFERROR(INDEX(Reit!I$8:I$64,MATCH(AJ195,Reit!F$8:F$64,0)),"")</f>
        <v/>
      </c>
      <c r="AJ195" s="710" t="str">
        <f t="shared" si="20"/>
        <v/>
      </c>
      <c r="AK195" s="709" t="str">
        <f>IFERROR(INDEX(Reit!I$8:I$64,MATCH(AL195,Reit!F$8:F$64,0)),"")</f>
        <v/>
      </c>
      <c r="AL195" s="710" t="str">
        <f t="shared" si="21"/>
        <v/>
      </c>
      <c r="AM195" s="652"/>
    </row>
    <row r="196" spans="1:39" hidden="1" x14ac:dyDescent="0.2">
      <c r="A196" s="652"/>
      <c r="B196" s="652"/>
      <c r="C196" s="652"/>
      <c r="D196" s="652"/>
      <c r="E196" s="652"/>
      <c r="F196" s="652"/>
      <c r="G196" s="652"/>
      <c r="H196" s="652"/>
      <c r="I196" s="652"/>
      <c r="J196" s="652"/>
      <c r="K196" s="652"/>
      <c r="L196" s="657"/>
      <c r="M196" s="657"/>
      <c r="N196" s="657"/>
      <c r="O196" s="652"/>
      <c r="P196" s="652"/>
      <c r="Q196" s="652"/>
      <c r="R196" s="652"/>
      <c r="S196" s="652"/>
      <c r="T196" s="657"/>
      <c r="U196" s="657"/>
      <c r="V196" s="657"/>
      <c r="W196" s="652"/>
      <c r="X196" s="652"/>
      <c r="Y196" s="652"/>
      <c r="Z196" s="652"/>
      <c r="AA196" s="652"/>
      <c r="AB196" s="652"/>
      <c r="AC196" s="652"/>
      <c r="AD196" s="652"/>
      <c r="AE196" s="709" t="str">
        <f>IFERROR(INDEX(Reit!I$8:I$64,MATCH(AF196,Reit!F$8:F$64,0)),"")</f>
        <v/>
      </c>
      <c r="AF196" s="710" t="str">
        <f t="shared" si="18"/>
        <v/>
      </c>
      <c r="AG196" s="709" t="str">
        <f>IFERROR(INDEX(Reit!I$8:I$64,MATCH(AH196,Reit!F$8:F$64,0)),"")</f>
        <v/>
      </c>
      <c r="AH196" s="710" t="str">
        <f t="shared" si="19"/>
        <v/>
      </c>
      <c r="AI196" s="709" t="str">
        <f>IFERROR(INDEX(Reit!I$8:I$64,MATCH(AJ196,Reit!F$8:F$64,0)),"")</f>
        <v/>
      </c>
      <c r="AJ196" s="710" t="str">
        <f t="shared" si="20"/>
        <v/>
      </c>
      <c r="AK196" s="709" t="str">
        <f>IFERROR(INDEX(Reit!I$8:I$64,MATCH(AL196,Reit!F$8:F$64,0)),"")</f>
        <v/>
      </c>
      <c r="AL196" s="710" t="str">
        <f t="shared" si="21"/>
        <v/>
      </c>
      <c r="AM196" s="652"/>
    </row>
    <row r="197" spans="1:39" hidden="1" x14ac:dyDescent="0.2">
      <c r="A197" s="652"/>
      <c r="B197" s="652"/>
      <c r="C197" s="652"/>
      <c r="D197" s="652"/>
      <c r="E197" s="652"/>
      <c r="F197" s="652"/>
      <c r="G197" s="652"/>
      <c r="H197" s="652"/>
      <c r="I197" s="652"/>
      <c r="J197" s="652"/>
      <c r="K197" s="652"/>
      <c r="L197" s="657"/>
      <c r="M197" s="657"/>
      <c r="N197" s="657"/>
      <c r="O197" s="652"/>
      <c r="P197" s="652"/>
      <c r="Q197" s="652"/>
      <c r="R197" s="652"/>
      <c r="S197" s="652"/>
      <c r="T197" s="657"/>
      <c r="U197" s="657"/>
      <c r="V197" s="657"/>
      <c r="W197" s="652"/>
      <c r="X197" s="652"/>
      <c r="Y197" s="652"/>
      <c r="Z197" s="652"/>
      <c r="AA197" s="652"/>
      <c r="AB197" s="652"/>
      <c r="AC197" s="652"/>
      <c r="AD197" s="652"/>
      <c r="AE197" s="709" t="str">
        <f>IFERROR(INDEX(Reit!I$8:I$64,MATCH(AF197,Reit!F$8:F$64,0)),"")</f>
        <v/>
      </c>
      <c r="AF197" s="710" t="str">
        <f t="shared" si="18"/>
        <v/>
      </c>
      <c r="AG197" s="709" t="str">
        <f>IFERROR(INDEX(Reit!I$8:I$64,MATCH(AH197,Reit!F$8:F$64,0)),"")</f>
        <v/>
      </c>
      <c r="AH197" s="710" t="str">
        <f t="shared" si="19"/>
        <v/>
      </c>
      <c r="AI197" s="709" t="str">
        <f>IFERROR(INDEX(Reit!I$8:I$64,MATCH(AJ197,Reit!F$8:F$64,0)),"")</f>
        <v/>
      </c>
      <c r="AJ197" s="710" t="str">
        <f t="shared" si="20"/>
        <v/>
      </c>
      <c r="AK197" s="709" t="str">
        <f>IFERROR(INDEX(Reit!I$8:I$64,MATCH(AL197,Reit!F$8:F$64,0)),"")</f>
        <v/>
      </c>
      <c r="AL197" s="710" t="str">
        <f t="shared" si="21"/>
        <v/>
      </c>
      <c r="AM197" s="652"/>
    </row>
    <row r="198" spans="1:39" hidden="1" x14ac:dyDescent="0.2">
      <c r="A198" s="652"/>
      <c r="B198" s="652"/>
      <c r="C198" s="652"/>
      <c r="D198" s="652"/>
      <c r="E198" s="652"/>
      <c r="F198" s="652"/>
      <c r="G198" s="652"/>
      <c r="H198" s="652"/>
      <c r="I198" s="652"/>
      <c r="J198" s="652"/>
      <c r="K198" s="652"/>
      <c r="L198" s="657"/>
      <c r="M198" s="657"/>
      <c r="N198" s="657"/>
      <c r="O198" s="652"/>
      <c r="P198" s="652"/>
      <c r="Q198" s="652"/>
      <c r="R198" s="652"/>
      <c r="S198" s="652"/>
      <c r="T198" s="657"/>
      <c r="U198" s="657"/>
      <c r="V198" s="657"/>
      <c r="W198" s="652"/>
      <c r="X198" s="652"/>
      <c r="Y198" s="652"/>
      <c r="Z198" s="652"/>
      <c r="AA198" s="652"/>
      <c r="AB198" s="652"/>
      <c r="AC198" s="652"/>
      <c r="AD198" s="652"/>
      <c r="AE198" s="709" t="str">
        <f>IFERROR(INDEX(Reit!I$8:I$64,MATCH(AF198,Reit!F$8:F$64,0)),"")</f>
        <v/>
      </c>
      <c r="AF198" s="710" t="str">
        <f t="shared" si="18"/>
        <v/>
      </c>
      <c r="AG198" s="709" t="str">
        <f>IFERROR(INDEX(Reit!I$8:I$64,MATCH(AH198,Reit!F$8:F$64,0)),"")</f>
        <v/>
      </c>
      <c r="AH198" s="710" t="str">
        <f t="shared" si="19"/>
        <v/>
      </c>
      <c r="AI198" s="709" t="str">
        <f>IFERROR(INDEX(Reit!I$8:I$64,MATCH(AJ198,Reit!F$8:F$64,0)),"")</f>
        <v/>
      </c>
      <c r="AJ198" s="710" t="str">
        <f t="shared" si="20"/>
        <v/>
      </c>
      <c r="AK198" s="709" t="str">
        <f>IFERROR(INDEX(Reit!I$8:I$64,MATCH(AL198,Reit!F$8:F$64,0)),"")</f>
        <v/>
      </c>
      <c r="AL198" s="710" t="str">
        <f t="shared" si="21"/>
        <v/>
      </c>
      <c r="AM198" s="652"/>
    </row>
    <row r="199" spans="1:39" hidden="1" x14ac:dyDescent="0.2">
      <c r="A199" s="652"/>
      <c r="B199" s="652"/>
      <c r="C199" s="652"/>
      <c r="D199" s="652"/>
      <c r="E199" s="652"/>
      <c r="F199" s="652"/>
      <c r="G199" s="652"/>
      <c r="H199" s="652"/>
      <c r="I199" s="652"/>
      <c r="J199" s="652"/>
      <c r="K199" s="652"/>
      <c r="L199" s="657"/>
      <c r="M199" s="657"/>
      <c r="N199" s="657"/>
      <c r="O199" s="652"/>
      <c r="P199" s="652"/>
      <c r="Q199" s="652"/>
      <c r="R199" s="652"/>
      <c r="S199" s="652"/>
      <c r="T199" s="657"/>
      <c r="U199" s="657"/>
      <c r="V199" s="657"/>
      <c r="W199" s="652"/>
      <c r="X199" s="652"/>
      <c r="Y199" s="652"/>
      <c r="Z199" s="652"/>
      <c r="AA199" s="652"/>
      <c r="AB199" s="652"/>
      <c r="AC199" s="652"/>
      <c r="AD199" s="652"/>
      <c r="AE199" s="709" t="str">
        <f>IFERROR(INDEX(Reit!I$8:I$64,MATCH(AF199,Reit!F$8:F$64,0)),"")</f>
        <v/>
      </c>
      <c r="AF199" s="710" t="str">
        <f t="shared" si="18"/>
        <v/>
      </c>
      <c r="AG199" s="709" t="str">
        <f>IFERROR(INDEX(Reit!I$8:I$64,MATCH(AH199,Reit!F$8:F$64,0)),"")</f>
        <v/>
      </c>
      <c r="AH199" s="710" t="str">
        <f t="shared" si="19"/>
        <v/>
      </c>
      <c r="AI199" s="709" t="str">
        <f>IFERROR(INDEX(Reit!I$8:I$64,MATCH(AJ199,Reit!F$8:F$64,0)),"")</f>
        <v/>
      </c>
      <c r="AJ199" s="710" t="str">
        <f t="shared" si="20"/>
        <v/>
      </c>
      <c r="AK199" s="709" t="str">
        <f>IFERROR(INDEX(Reit!I$8:I$64,MATCH(AL199,Reit!F$8:F$64,0)),"")</f>
        <v/>
      </c>
      <c r="AL199" s="710" t="str">
        <f t="shared" si="21"/>
        <v/>
      </c>
      <c r="AM199" s="652"/>
    </row>
    <row r="200" spans="1:39" hidden="1" x14ac:dyDescent="0.2">
      <c r="A200" s="652"/>
      <c r="B200" s="652"/>
      <c r="C200" s="652"/>
      <c r="D200" s="652"/>
      <c r="E200" s="652"/>
      <c r="F200" s="652"/>
      <c r="G200" s="652"/>
      <c r="H200" s="652"/>
      <c r="I200" s="652"/>
      <c r="J200" s="652"/>
      <c r="K200" s="652"/>
      <c r="L200" s="657"/>
      <c r="M200" s="657"/>
      <c r="N200" s="657"/>
      <c r="O200" s="652"/>
      <c r="P200" s="652"/>
      <c r="Q200" s="652"/>
      <c r="R200" s="652"/>
      <c r="S200" s="652"/>
      <c r="T200" s="657"/>
      <c r="U200" s="657"/>
      <c r="V200" s="657"/>
      <c r="W200" s="652"/>
      <c r="X200" s="652"/>
      <c r="Y200" s="652"/>
      <c r="Z200" s="652"/>
      <c r="AA200" s="652"/>
      <c r="AB200" s="652"/>
      <c r="AC200" s="652"/>
      <c r="AD200" s="652"/>
      <c r="AE200" s="709" t="str">
        <f>IFERROR(INDEX(Reit!I$8:I$64,MATCH(AF200,Reit!F$8:F$64,0)),"")</f>
        <v/>
      </c>
      <c r="AF200" s="710" t="str">
        <f t="shared" si="18"/>
        <v/>
      </c>
      <c r="AG200" s="709" t="str">
        <f>IFERROR(INDEX(Reit!I$8:I$64,MATCH(AH200,Reit!F$8:F$64,0)),"")</f>
        <v/>
      </c>
      <c r="AH200" s="710" t="str">
        <f t="shared" si="19"/>
        <v/>
      </c>
      <c r="AI200" s="709" t="str">
        <f>IFERROR(INDEX(Reit!I$8:I$64,MATCH(AJ200,Reit!F$8:F$64,0)),"")</f>
        <v/>
      </c>
      <c r="AJ200" s="710" t="str">
        <f t="shared" si="20"/>
        <v/>
      </c>
      <c r="AK200" s="709" t="str">
        <f>IFERROR(INDEX(Reit!I$8:I$64,MATCH(AL200,Reit!F$8:F$64,0)),"")</f>
        <v/>
      </c>
      <c r="AL200" s="710" t="str">
        <f t="shared" si="21"/>
        <v/>
      </c>
      <c r="AM200" s="652"/>
    </row>
    <row r="201" spans="1:39" hidden="1" x14ac:dyDescent="0.2">
      <c r="A201" s="652"/>
      <c r="B201" s="652"/>
      <c r="C201" s="652"/>
      <c r="D201" s="652"/>
      <c r="E201" s="652"/>
      <c r="F201" s="652"/>
      <c r="G201" s="652"/>
      <c r="H201" s="652"/>
      <c r="I201" s="652"/>
      <c r="J201" s="652"/>
      <c r="K201" s="652"/>
      <c r="L201" s="657"/>
      <c r="M201" s="657"/>
      <c r="N201" s="657"/>
      <c r="O201" s="652"/>
      <c r="P201" s="652"/>
      <c r="Q201" s="652"/>
      <c r="R201" s="652"/>
      <c r="S201" s="652"/>
      <c r="T201" s="657"/>
      <c r="U201" s="657"/>
      <c r="V201" s="657"/>
      <c r="W201" s="652"/>
      <c r="X201" s="652"/>
      <c r="Y201" s="652"/>
      <c r="Z201" s="652"/>
      <c r="AA201" s="652"/>
      <c r="AB201" s="652"/>
      <c r="AC201" s="652"/>
      <c r="AD201" s="652"/>
      <c r="AE201" s="709" t="str">
        <f>IFERROR(INDEX(Reit!I$8:I$64,MATCH(AF201,Reit!F$8:F$64,0)),"")</f>
        <v/>
      </c>
      <c r="AF201" s="710" t="str">
        <f t="shared" ref="AF201:AF264" si="22">IFERROR(LEFT(B201,(FIND(",",B201,1)-1)),"")</f>
        <v/>
      </c>
      <c r="AG201" s="709" t="str">
        <f>IFERROR(INDEX(Reit!I$8:I$64,MATCH(AH201,Reit!F$8:F$64,0)),"")</f>
        <v/>
      </c>
      <c r="AH201" s="710" t="str">
        <f t="shared" ref="AH201:AH264" si="23">IFERROR(MID(B201,FIND(", ",B201)+2,256),"")</f>
        <v/>
      </c>
      <c r="AI201" s="709" t="str">
        <f>IFERROR(INDEX(Reit!I$8:I$64,MATCH(AJ201,Reit!F$8:F$64,0)),"")</f>
        <v/>
      </c>
      <c r="AJ201" s="710" t="str">
        <f t="shared" ref="AJ201:AJ264" si="24">IFERROR(MID(B201,FIND("^",SUBSTITUTE(B201,", ","^",1))+2,FIND("^",SUBSTITUTE(B201,", ","^",2))-FIND("^",SUBSTITUTE(B201,", ","^",1))-2),"")</f>
        <v/>
      </c>
      <c r="AK201" s="709" t="str">
        <f>IFERROR(INDEX(Reit!I$8:I$64,MATCH(AL201,Reit!F$8:F$64,0)),"")</f>
        <v/>
      </c>
      <c r="AL201" s="710" t="str">
        <f t="shared" ref="AL201:AL264" si="25">IFERROR(MID(B201,FIND(", ",B201,FIND(", ",B201,FIND(", ",B201))+1)+2,700),"")</f>
        <v/>
      </c>
      <c r="AM201" s="652"/>
    </row>
    <row r="202" spans="1:39" hidden="1" x14ac:dyDescent="0.2">
      <c r="A202" s="652"/>
      <c r="B202" s="652"/>
      <c r="C202" s="652"/>
      <c r="D202" s="652"/>
      <c r="E202" s="652"/>
      <c r="F202" s="652"/>
      <c r="G202" s="652"/>
      <c r="H202" s="652"/>
      <c r="I202" s="652"/>
      <c r="J202" s="652"/>
      <c r="K202" s="652"/>
      <c r="L202" s="657"/>
      <c r="M202" s="657"/>
      <c r="N202" s="657"/>
      <c r="O202" s="652"/>
      <c r="P202" s="652"/>
      <c r="Q202" s="652"/>
      <c r="R202" s="652"/>
      <c r="S202" s="652"/>
      <c r="T202" s="657"/>
      <c r="U202" s="657"/>
      <c r="V202" s="657"/>
      <c r="W202" s="652"/>
      <c r="X202" s="652"/>
      <c r="Y202" s="652"/>
      <c r="Z202" s="652"/>
      <c r="AA202" s="652"/>
      <c r="AB202" s="652"/>
      <c r="AC202" s="652"/>
      <c r="AD202" s="652"/>
      <c r="AE202" s="709" t="str">
        <f>IFERROR(INDEX(Reit!I$8:I$64,MATCH(AF202,Reit!F$8:F$64,0)),"")</f>
        <v/>
      </c>
      <c r="AF202" s="710" t="str">
        <f t="shared" si="22"/>
        <v/>
      </c>
      <c r="AG202" s="709" t="str">
        <f>IFERROR(INDEX(Reit!I$8:I$64,MATCH(AH202,Reit!F$8:F$64,0)),"")</f>
        <v/>
      </c>
      <c r="AH202" s="710" t="str">
        <f t="shared" si="23"/>
        <v/>
      </c>
      <c r="AI202" s="709" t="str">
        <f>IFERROR(INDEX(Reit!I$8:I$64,MATCH(AJ202,Reit!F$8:F$64,0)),"")</f>
        <v/>
      </c>
      <c r="AJ202" s="710" t="str">
        <f t="shared" si="24"/>
        <v/>
      </c>
      <c r="AK202" s="709" t="str">
        <f>IFERROR(INDEX(Reit!I$8:I$64,MATCH(AL202,Reit!F$8:F$64,0)),"")</f>
        <v/>
      </c>
      <c r="AL202" s="710" t="str">
        <f t="shared" si="25"/>
        <v/>
      </c>
      <c r="AM202" s="652"/>
    </row>
    <row r="203" spans="1:39" hidden="1" x14ac:dyDescent="0.2">
      <c r="A203" s="652"/>
      <c r="B203" s="652"/>
      <c r="C203" s="652"/>
      <c r="D203" s="652"/>
      <c r="E203" s="652"/>
      <c r="F203" s="652"/>
      <c r="G203" s="652"/>
      <c r="H203" s="652"/>
      <c r="I203" s="652"/>
      <c r="J203" s="652"/>
      <c r="K203" s="652"/>
      <c r="L203" s="657"/>
      <c r="M203" s="657"/>
      <c r="N203" s="657"/>
      <c r="O203" s="652"/>
      <c r="P203" s="652"/>
      <c r="Q203" s="652"/>
      <c r="R203" s="652"/>
      <c r="S203" s="652"/>
      <c r="T203" s="657"/>
      <c r="U203" s="657"/>
      <c r="V203" s="657"/>
      <c r="W203" s="652"/>
      <c r="X203" s="652"/>
      <c r="Y203" s="652"/>
      <c r="Z203" s="652"/>
      <c r="AA203" s="652"/>
      <c r="AB203" s="652"/>
      <c r="AC203" s="652"/>
      <c r="AD203" s="652"/>
      <c r="AE203" s="709" t="str">
        <f>IFERROR(INDEX(Reit!I$8:I$64,MATCH(AF203,Reit!F$8:F$64,0)),"")</f>
        <v/>
      </c>
      <c r="AF203" s="710" t="str">
        <f t="shared" si="22"/>
        <v/>
      </c>
      <c r="AG203" s="709" t="str">
        <f>IFERROR(INDEX(Reit!I$8:I$64,MATCH(AH203,Reit!F$8:F$64,0)),"")</f>
        <v/>
      </c>
      <c r="AH203" s="710" t="str">
        <f t="shared" si="23"/>
        <v/>
      </c>
      <c r="AI203" s="709" t="str">
        <f>IFERROR(INDEX(Reit!I$8:I$64,MATCH(AJ203,Reit!F$8:F$64,0)),"")</f>
        <v/>
      </c>
      <c r="AJ203" s="710" t="str">
        <f t="shared" si="24"/>
        <v/>
      </c>
      <c r="AK203" s="709" t="str">
        <f>IFERROR(INDEX(Reit!I$8:I$64,MATCH(AL203,Reit!F$8:F$64,0)),"")</f>
        <v/>
      </c>
      <c r="AL203" s="710" t="str">
        <f t="shared" si="25"/>
        <v/>
      </c>
      <c r="AM203" s="652"/>
    </row>
    <row r="204" spans="1:39" hidden="1" x14ac:dyDescent="0.2">
      <c r="A204" s="652"/>
      <c r="B204" s="652"/>
      <c r="C204" s="652"/>
      <c r="D204" s="652"/>
      <c r="E204" s="652"/>
      <c r="F204" s="652"/>
      <c r="G204" s="652"/>
      <c r="H204" s="652"/>
      <c r="I204" s="652"/>
      <c r="J204" s="652"/>
      <c r="K204" s="652"/>
      <c r="L204" s="657"/>
      <c r="M204" s="657"/>
      <c r="N204" s="657"/>
      <c r="O204" s="652"/>
      <c r="P204" s="652"/>
      <c r="Q204" s="652"/>
      <c r="R204" s="652"/>
      <c r="S204" s="652"/>
      <c r="T204" s="657"/>
      <c r="U204" s="657"/>
      <c r="V204" s="657"/>
      <c r="W204" s="652"/>
      <c r="X204" s="652"/>
      <c r="Y204" s="652"/>
      <c r="Z204" s="652"/>
      <c r="AA204" s="652"/>
      <c r="AB204" s="652"/>
      <c r="AC204" s="652"/>
      <c r="AD204" s="652"/>
      <c r="AE204" s="709" t="str">
        <f>IFERROR(INDEX(Reit!I$8:I$64,MATCH(AF204,Reit!F$8:F$64,0)),"")</f>
        <v/>
      </c>
      <c r="AF204" s="710" t="str">
        <f t="shared" si="22"/>
        <v/>
      </c>
      <c r="AG204" s="709" t="str">
        <f>IFERROR(INDEX(Reit!I$8:I$64,MATCH(AH204,Reit!F$8:F$64,0)),"")</f>
        <v/>
      </c>
      <c r="AH204" s="710" t="str">
        <f t="shared" si="23"/>
        <v/>
      </c>
      <c r="AI204" s="709" t="str">
        <f>IFERROR(INDEX(Reit!I$8:I$64,MATCH(AJ204,Reit!F$8:F$64,0)),"")</f>
        <v/>
      </c>
      <c r="AJ204" s="710" t="str">
        <f t="shared" si="24"/>
        <v/>
      </c>
      <c r="AK204" s="709" t="str">
        <f>IFERROR(INDEX(Reit!I$8:I$64,MATCH(AL204,Reit!F$8:F$64,0)),"")</f>
        <v/>
      </c>
      <c r="AL204" s="710" t="str">
        <f t="shared" si="25"/>
        <v/>
      </c>
      <c r="AM204" s="652"/>
    </row>
    <row r="205" spans="1:39" hidden="1" x14ac:dyDescent="0.2">
      <c r="A205" s="652"/>
      <c r="B205" s="652"/>
      <c r="C205" s="652"/>
      <c r="D205" s="652"/>
      <c r="E205" s="652"/>
      <c r="F205" s="652"/>
      <c r="G205" s="652"/>
      <c r="H205" s="652"/>
      <c r="I205" s="652"/>
      <c r="J205" s="652"/>
      <c r="K205" s="652"/>
      <c r="L205" s="657"/>
      <c r="M205" s="657"/>
      <c r="N205" s="657"/>
      <c r="O205" s="652"/>
      <c r="P205" s="652"/>
      <c r="Q205" s="652"/>
      <c r="R205" s="652"/>
      <c r="S205" s="652"/>
      <c r="T205" s="657"/>
      <c r="U205" s="657"/>
      <c r="V205" s="657"/>
      <c r="W205" s="652"/>
      <c r="X205" s="652"/>
      <c r="Y205" s="652"/>
      <c r="Z205" s="652"/>
      <c r="AA205" s="652"/>
      <c r="AB205" s="652"/>
      <c r="AC205" s="652"/>
      <c r="AD205" s="652"/>
      <c r="AE205" s="709" t="str">
        <f>IFERROR(INDEX(Reit!I$8:I$64,MATCH(AF205,Reit!F$8:F$64,0)),"")</f>
        <v/>
      </c>
      <c r="AF205" s="710" t="str">
        <f t="shared" si="22"/>
        <v/>
      </c>
      <c r="AG205" s="709" t="str">
        <f>IFERROR(INDEX(Reit!I$8:I$64,MATCH(AH205,Reit!F$8:F$64,0)),"")</f>
        <v/>
      </c>
      <c r="AH205" s="710" t="str">
        <f t="shared" si="23"/>
        <v/>
      </c>
      <c r="AI205" s="709" t="str">
        <f>IFERROR(INDEX(Reit!I$8:I$64,MATCH(AJ205,Reit!F$8:F$64,0)),"")</f>
        <v/>
      </c>
      <c r="AJ205" s="710" t="str">
        <f t="shared" si="24"/>
        <v/>
      </c>
      <c r="AK205" s="709" t="str">
        <f>IFERROR(INDEX(Reit!I$8:I$64,MATCH(AL205,Reit!F$8:F$64,0)),"")</f>
        <v/>
      </c>
      <c r="AL205" s="710" t="str">
        <f t="shared" si="25"/>
        <v/>
      </c>
      <c r="AM205" s="652"/>
    </row>
    <row r="206" spans="1:39" hidden="1" x14ac:dyDescent="0.2">
      <c r="A206" s="652"/>
      <c r="B206" s="652"/>
      <c r="C206" s="652"/>
      <c r="D206" s="652"/>
      <c r="E206" s="652"/>
      <c r="F206" s="652"/>
      <c r="G206" s="652"/>
      <c r="H206" s="652"/>
      <c r="I206" s="652"/>
      <c r="J206" s="652"/>
      <c r="K206" s="652"/>
      <c r="L206" s="657"/>
      <c r="M206" s="657"/>
      <c r="N206" s="657"/>
      <c r="O206" s="652"/>
      <c r="P206" s="652"/>
      <c r="Q206" s="652"/>
      <c r="R206" s="652"/>
      <c r="S206" s="652"/>
      <c r="T206" s="657"/>
      <c r="U206" s="657"/>
      <c r="V206" s="657"/>
      <c r="W206" s="652"/>
      <c r="X206" s="652"/>
      <c r="Y206" s="652"/>
      <c r="Z206" s="652"/>
      <c r="AA206" s="652"/>
      <c r="AB206" s="652"/>
      <c r="AC206" s="652"/>
      <c r="AD206" s="652"/>
      <c r="AE206" s="709" t="str">
        <f>IFERROR(INDEX(Reit!I$8:I$64,MATCH(AF206,Reit!F$8:F$64,0)),"")</f>
        <v/>
      </c>
      <c r="AF206" s="710" t="str">
        <f t="shared" si="22"/>
        <v/>
      </c>
      <c r="AG206" s="709" t="str">
        <f>IFERROR(INDEX(Reit!I$8:I$64,MATCH(AH206,Reit!F$8:F$64,0)),"")</f>
        <v/>
      </c>
      <c r="AH206" s="710" t="str">
        <f t="shared" si="23"/>
        <v/>
      </c>
      <c r="AI206" s="709" t="str">
        <f>IFERROR(INDEX(Reit!I$8:I$64,MATCH(AJ206,Reit!F$8:F$64,0)),"")</f>
        <v/>
      </c>
      <c r="AJ206" s="710" t="str">
        <f t="shared" si="24"/>
        <v/>
      </c>
      <c r="AK206" s="709" t="str">
        <f>IFERROR(INDEX(Reit!I$8:I$64,MATCH(AL206,Reit!F$8:F$64,0)),"")</f>
        <v/>
      </c>
      <c r="AL206" s="710" t="str">
        <f t="shared" si="25"/>
        <v/>
      </c>
      <c r="AM206" s="652"/>
    </row>
    <row r="207" spans="1:39" hidden="1" x14ac:dyDescent="0.2">
      <c r="A207" s="652"/>
      <c r="B207" s="652"/>
      <c r="C207" s="652"/>
      <c r="D207" s="652"/>
      <c r="E207" s="652"/>
      <c r="F207" s="652"/>
      <c r="G207" s="652"/>
      <c r="H207" s="652"/>
      <c r="I207" s="652"/>
      <c r="J207" s="652"/>
      <c r="K207" s="652"/>
      <c r="L207" s="657"/>
      <c r="M207" s="657"/>
      <c r="N207" s="657"/>
      <c r="O207" s="652"/>
      <c r="P207" s="652"/>
      <c r="Q207" s="652"/>
      <c r="R207" s="652"/>
      <c r="S207" s="652"/>
      <c r="T207" s="657"/>
      <c r="U207" s="657"/>
      <c r="V207" s="657"/>
      <c r="W207" s="652"/>
      <c r="X207" s="652"/>
      <c r="Y207" s="652"/>
      <c r="Z207" s="652"/>
      <c r="AA207" s="652"/>
      <c r="AB207" s="652"/>
      <c r="AC207" s="652"/>
      <c r="AD207" s="652"/>
      <c r="AE207" s="709" t="str">
        <f>IFERROR(INDEX(Reit!I$8:I$64,MATCH(AF207,Reit!F$8:F$64,0)),"")</f>
        <v/>
      </c>
      <c r="AF207" s="710" t="str">
        <f t="shared" si="22"/>
        <v/>
      </c>
      <c r="AG207" s="709" t="str">
        <f>IFERROR(INDEX(Reit!I$8:I$64,MATCH(AH207,Reit!F$8:F$64,0)),"")</f>
        <v/>
      </c>
      <c r="AH207" s="710" t="str">
        <f t="shared" si="23"/>
        <v/>
      </c>
      <c r="AI207" s="709" t="str">
        <f>IFERROR(INDEX(Reit!I$8:I$64,MATCH(AJ207,Reit!F$8:F$64,0)),"")</f>
        <v/>
      </c>
      <c r="AJ207" s="710" t="str">
        <f t="shared" si="24"/>
        <v/>
      </c>
      <c r="AK207" s="709" t="str">
        <f>IFERROR(INDEX(Reit!I$8:I$64,MATCH(AL207,Reit!F$8:F$64,0)),"")</f>
        <v/>
      </c>
      <c r="AL207" s="710" t="str">
        <f t="shared" si="25"/>
        <v/>
      </c>
      <c r="AM207" s="652"/>
    </row>
    <row r="208" spans="1:39" hidden="1" x14ac:dyDescent="0.2">
      <c r="A208" s="652"/>
      <c r="B208" s="652"/>
      <c r="C208" s="652"/>
      <c r="D208" s="652"/>
      <c r="E208" s="652"/>
      <c r="F208" s="652"/>
      <c r="G208" s="652"/>
      <c r="H208" s="652"/>
      <c r="I208" s="652"/>
      <c r="J208" s="652"/>
      <c r="K208" s="652"/>
      <c r="L208" s="657"/>
      <c r="M208" s="657"/>
      <c r="N208" s="657"/>
      <c r="O208" s="652"/>
      <c r="P208" s="652"/>
      <c r="Q208" s="652"/>
      <c r="R208" s="652"/>
      <c r="S208" s="652"/>
      <c r="T208" s="657"/>
      <c r="U208" s="657"/>
      <c r="V208" s="657"/>
      <c r="W208" s="652"/>
      <c r="X208" s="652"/>
      <c r="Y208" s="652"/>
      <c r="Z208" s="652"/>
      <c r="AA208" s="652"/>
      <c r="AB208" s="652"/>
      <c r="AC208" s="652"/>
      <c r="AD208" s="652"/>
      <c r="AE208" s="709" t="str">
        <f>IFERROR(INDEX(Reit!I$8:I$64,MATCH(AF208,Reit!F$8:F$64,0)),"")</f>
        <v/>
      </c>
      <c r="AF208" s="710" t="str">
        <f t="shared" si="22"/>
        <v/>
      </c>
      <c r="AG208" s="709" t="str">
        <f>IFERROR(INDEX(Reit!I$8:I$64,MATCH(AH208,Reit!F$8:F$64,0)),"")</f>
        <v/>
      </c>
      <c r="AH208" s="710" t="str">
        <f t="shared" si="23"/>
        <v/>
      </c>
      <c r="AI208" s="709" t="str">
        <f>IFERROR(INDEX(Reit!I$8:I$64,MATCH(AJ208,Reit!F$8:F$64,0)),"")</f>
        <v/>
      </c>
      <c r="AJ208" s="710" t="str">
        <f t="shared" si="24"/>
        <v/>
      </c>
      <c r="AK208" s="709" t="str">
        <f>IFERROR(INDEX(Reit!I$8:I$64,MATCH(AL208,Reit!F$8:F$64,0)),"")</f>
        <v/>
      </c>
      <c r="AL208" s="710" t="str">
        <f t="shared" si="25"/>
        <v/>
      </c>
      <c r="AM208" s="652"/>
    </row>
    <row r="209" spans="1:39" hidden="1" x14ac:dyDescent="0.2">
      <c r="A209" s="652"/>
      <c r="B209" s="652"/>
      <c r="C209" s="652"/>
      <c r="D209" s="652"/>
      <c r="E209" s="652"/>
      <c r="F209" s="652"/>
      <c r="G209" s="652"/>
      <c r="H209" s="652"/>
      <c r="I209" s="652"/>
      <c r="J209" s="652"/>
      <c r="K209" s="652"/>
      <c r="L209" s="657"/>
      <c r="M209" s="657"/>
      <c r="N209" s="657"/>
      <c r="O209" s="652"/>
      <c r="P209" s="652"/>
      <c r="Q209" s="652"/>
      <c r="R209" s="652"/>
      <c r="S209" s="652"/>
      <c r="T209" s="657"/>
      <c r="U209" s="657"/>
      <c r="V209" s="657"/>
      <c r="W209" s="652"/>
      <c r="X209" s="652"/>
      <c r="Y209" s="652"/>
      <c r="Z209" s="652"/>
      <c r="AA209" s="652"/>
      <c r="AB209" s="652"/>
      <c r="AC209" s="652"/>
      <c r="AD209" s="652"/>
      <c r="AE209" s="709" t="str">
        <f>IFERROR(INDEX(Reit!I$8:I$64,MATCH(AF209,Reit!F$8:F$64,0)),"")</f>
        <v/>
      </c>
      <c r="AF209" s="710" t="str">
        <f t="shared" si="22"/>
        <v/>
      </c>
      <c r="AG209" s="709" t="str">
        <f>IFERROR(INDEX(Reit!I$8:I$64,MATCH(AH209,Reit!F$8:F$64,0)),"")</f>
        <v/>
      </c>
      <c r="AH209" s="710" t="str">
        <f t="shared" si="23"/>
        <v/>
      </c>
      <c r="AI209" s="709" t="str">
        <f>IFERROR(INDEX(Reit!I$8:I$64,MATCH(AJ209,Reit!F$8:F$64,0)),"")</f>
        <v/>
      </c>
      <c r="AJ209" s="710" t="str">
        <f t="shared" si="24"/>
        <v/>
      </c>
      <c r="AK209" s="709" t="str">
        <f>IFERROR(INDEX(Reit!I$8:I$64,MATCH(AL209,Reit!F$8:F$64,0)),"")</f>
        <v/>
      </c>
      <c r="AL209" s="710" t="str">
        <f t="shared" si="25"/>
        <v/>
      </c>
      <c r="AM209" s="652"/>
    </row>
    <row r="210" spans="1:39" hidden="1" x14ac:dyDescent="0.2">
      <c r="A210" s="652"/>
      <c r="B210" s="652"/>
      <c r="C210" s="652"/>
      <c r="D210" s="652"/>
      <c r="E210" s="652"/>
      <c r="F210" s="652"/>
      <c r="G210" s="652"/>
      <c r="H210" s="652"/>
      <c r="I210" s="652"/>
      <c r="J210" s="652"/>
      <c r="K210" s="652"/>
      <c r="L210" s="657"/>
      <c r="M210" s="657"/>
      <c r="N210" s="657"/>
      <c r="O210" s="652"/>
      <c r="P210" s="652"/>
      <c r="Q210" s="652"/>
      <c r="R210" s="652"/>
      <c r="S210" s="652"/>
      <c r="T210" s="657"/>
      <c r="U210" s="657"/>
      <c r="V210" s="657"/>
      <c r="W210" s="652"/>
      <c r="X210" s="652"/>
      <c r="Y210" s="652"/>
      <c r="Z210" s="652"/>
      <c r="AA210" s="652"/>
      <c r="AB210" s="652"/>
      <c r="AC210" s="652"/>
      <c r="AD210" s="652"/>
      <c r="AE210" s="709" t="str">
        <f>IFERROR(INDEX(Reit!I$8:I$64,MATCH(AF210,Reit!F$8:F$64,0)),"")</f>
        <v/>
      </c>
      <c r="AF210" s="710" t="str">
        <f t="shared" si="22"/>
        <v/>
      </c>
      <c r="AG210" s="709" t="str">
        <f>IFERROR(INDEX(Reit!I$8:I$64,MATCH(AH210,Reit!F$8:F$64,0)),"")</f>
        <v/>
      </c>
      <c r="AH210" s="710" t="str">
        <f t="shared" si="23"/>
        <v/>
      </c>
      <c r="AI210" s="709" t="str">
        <f>IFERROR(INDEX(Reit!I$8:I$64,MATCH(AJ210,Reit!F$8:F$64,0)),"")</f>
        <v/>
      </c>
      <c r="AJ210" s="710" t="str">
        <f t="shared" si="24"/>
        <v/>
      </c>
      <c r="AK210" s="709" t="str">
        <f>IFERROR(INDEX(Reit!I$8:I$64,MATCH(AL210,Reit!F$8:F$64,0)),"")</f>
        <v/>
      </c>
      <c r="AL210" s="710" t="str">
        <f t="shared" si="25"/>
        <v/>
      </c>
      <c r="AM210" s="652"/>
    </row>
    <row r="211" spans="1:39" hidden="1" x14ac:dyDescent="0.2">
      <c r="A211" s="652"/>
      <c r="B211" s="652"/>
      <c r="C211" s="652"/>
      <c r="D211" s="652"/>
      <c r="E211" s="652"/>
      <c r="F211" s="652"/>
      <c r="G211" s="652"/>
      <c r="H211" s="652"/>
      <c r="I211" s="652"/>
      <c r="J211" s="652"/>
      <c r="K211" s="652"/>
      <c r="L211" s="657"/>
      <c r="M211" s="657"/>
      <c r="N211" s="657"/>
      <c r="O211" s="652"/>
      <c r="P211" s="652"/>
      <c r="Q211" s="652"/>
      <c r="R211" s="652"/>
      <c r="S211" s="652"/>
      <c r="T211" s="657"/>
      <c r="U211" s="657"/>
      <c r="V211" s="657"/>
      <c r="W211" s="652"/>
      <c r="X211" s="652"/>
      <c r="Y211" s="652"/>
      <c r="Z211" s="652"/>
      <c r="AA211" s="652"/>
      <c r="AB211" s="652"/>
      <c r="AC211" s="652"/>
      <c r="AD211" s="652"/>
      <c r="AE211" s="709" t="str">
        <f>IFERROR(INDEX(Reit!I$8:I$64,MATCH(AF211,Reit!F$8:F$64,0)),"")</f>
        <v/>
      </c>
      <c r="AF211" s="710" t="str">
        <f t="shared" si="22"/>
        <v/>
      </c>
      <c r="AG211" s="709" t="str">
        <f>IFERROR(INDEX(Reit!I$8:I$64,MATCH(AH211,Reit!F$8:F$64,0)),"")</f>
        <v/>
      </c>
      <c r="AH211" s="710" t="str">
        <f t="shared" si="23"/>
        <v/>
      </c>
      <c r="AI211" s="709" t="str">
        <f>IFERROR(INDEX(Reit!I$8:I$64,MATCH(AJ211,Reit!F$8:F$64,0)),"")</f>
        <v/>
      </c>
      <c r="AJ211" s="710" t="str">
        <f t="shared" si="24"/>
        <v/>
      </c>
      <c r="AK211" s="709" t="str">
        <f>IFERROR(INDEX(Reit!I$8:I$64,MATCH(AL211,Reit!F$8:F$64,0)),"")</f>
        <v/>
      </c>
      <c r="AL211" s="710" t="str">
        <f t="shared" si="25"/>
        <v/>
      </c>
      <c r="AM211" s="652"/>
    </row>
    <row r="212" spans="1:39" hidden="1" x14ac:dyDescent="0.2">
      <c r="A212" s="652"/>
      <c r="B212" s="652"/>
      <c r="C212" s="652"/>
      <c r="D212" s="652"/>
      <c r="E212" s="652"/>
      <c r="F212" s="652"/>
      <c r="G212" s="652"/>
      <c r="H212" s="652"/>
      <c r="I212" s="652"/>
      <c r="J212" s="652"/>
      <c r="K212" s="652"/>
      <c r="L212" s="657"/>
      <c r="M212" s="657"/>
      <c r="N212" s="657"/>
      <c r="O212" s="652"/>
      <c r="P212" s="652"/>
      <c r="Q212" s="652"/>
      <c r="R212" s="652"/>
      <c r="S212" s="652"/>
      <c r="T212" s="657"/>
      <c r="U212" s="657"/>
      <c r="V212" s="657"/>
      <c r="W212" s="652"/>
      <c r="X212" s="652"/>
      <c r="Y212" s="652"/>
      <c r="Z212" s="652"/>
      <c r="AA212" s="652"/>
      <c r="AB212" s="652"/>
      <c r="AC212" s="652"/>
      <c r="AD212" s="652"/>
      <c r="AE212" s="709" t="str">
        <f>IFERROR(INDEX(Reit!I$8:I$64,MATCH(AF212,Reit!F$8:F$64,0)),"")</f>
        <v/>
      </c>
      <c r="AF212" s="710" t="str">
        <f t="shared" si="22"/>
        <v/>
      </c>
      <c r="AG212" s="709" t="str">
        <f>IFERROR(INDEX(Reit!I$8:I$64,MATCH(AH212,Reit!F$8:F$64,0)),"")</f>
        <v/>
      </c>
      <c r="AH212" s="710" t="str">
        <f t="shared" si="23"/>
        <v/>
      </c>
      <c r="AI212" s="709" t="str">
        <f>IFERROR(INDEX(Reit!I$8:I$64,MATCH(AJ212,Reit!F$8:F$64,0)),"")</f>
        <v/>
      </c>
      <c r="AJ212" s="710" t="str">
        <f t="shared" si="24"/>
        <v/>
      </c>
      <c r="AK212" s="709" t="str">
        <f>IFERROR(INDEX(Reit!I$8:I$64,MATCH(AL212,Reit!F$8:F$64,0)),"")</f>
        <v/>
      </c>
      <c r="AL212" s="710" t="str">
        <f t="shared" si="25"/>
        <v/>
      </c>
      <c r="AM212" s="652"/>
    </row>
    <row r="213" spans="1:39" hidden="1" x14ac:dyDescent="0.2">
      <c r="A213" s="652"/>
      <c r="B213" s="652"/>
      <c r="C213" s="652"/>
      <c r="D213" s="652"/>
      <c r="E213" s="652"/>
      <c r="F213" s="652"/>
      <c r="G213" s="652"/>
      <c r="H213" s="652"/>
      <c r="I213" s="652"/>
      <c r="J213" s="652"/>
      <c r="K213" s="652"/>
      <c r="L213" s="657"/>
      <c r="M213" s="657"/>
      <c r="N213" s="657"/>
      <c r="O213" s="652"/>
      <c r="P213" s="652"/>
      <c r="Q213" s="652"/>
      <c r="R213" s="652"/>
      <c r="S213" s="652"/>
      <c r="T213" s="657"/>
      <c r="U213" s="657"/>
      <c r="V213" s="657"/>
      <c r="W213" s="652"/>
      <c r="X213" s="652"/>
      <c r="Y213" s="652"/>
      <c r="Z213" s="652"/>
      <c r="AA213" s="652"/>
      <c r="AB213" s="652"/>
      <c r="AC213" s="652"/>
      <c r="AD213" s="652"/>
      <c r="AE213" s="709" t="str">
        <f>IFERROR(INDEX(Reit!I$8:I$64,MATCH(AF213,Reit!F$8:F$64,0)),"")</f>
        <v/>
      </c>
      <c r="AF213" s="710" t="str">
        <f t="shared" si="22"/>
        <v/>
      </c>
      <c r="AG213" s="709" t="str">
        <f>IFERROR(INDEX(Reit!I$8:I$64,MATCH(AH213,Reit!F$8:F$64,0)),"")</f>
        <v/>
      </c>
      <c r="AH213" s="710" t="str">
        <f t="shared" si="23"/>
        <v/>
      </c>
      <c r="AI213" s="709" t="str">
        <f>IFERROR(INDEX(Reit!I$8:I$64,MATCH(AJ213,Reit!F$8:F$64,0)),"")</f>
        <v/>
      </c>
      <c r="AJ213" s="710" t="str">
        <f t="shared" si="24"/>
        <v/>
      </c>
      <c r="AK213" s="709" t="str">
        <f>IFERROR(INDEX(Reit!I$8:I$64,MATCH(AL213,Reit!F$8:F$64,0)),"")</f>
        <v/>
      </c>
      <c r="AL213" s="710" t="str">
        <f t="shared" si="25"/>
        <v/>
      </c>
      <c r="AM213" s="652"/>
    </row>
    <row r="214" spans="1:39" hidden="1" x14ac:dyDescent="0.2">
      <c r="A214" s="652"/>
      <c r="B214" s="652"/>
      <c r="C214" s="652"/>
      <c r="D214" s="652"/>
      <c r="E214" s="652"/>
      <c r="F214" s="652"/>
      <c r="G214" s="652"/>
      <c r="H214" s="652"/>
      <c r="I214" s="652"/>
      <c r="J214" s="652"/>
      <c r="K214" s="652"/>
      <c r="L214" s="657"/>
      <c r="M214" s="657"/>
      <c r="N214" s="657"/>
      <c r="O214" s="652"/>
      <c r="P214" s="652"/>
      <c r="Q214" s="652"/>
      <c r="R214" s="652"/>
      <c r="S214" s="652"/>
      <c r="T214" s="657"/>
      <c r="U214" s="657"/>
      <c r="V214" s="657"/>
      <c r="W214" s="652"/>
      <c r="X214" s="652"/>
      <c r="Y214" s="652"/>
      <c r="Z214" s="652"/>
      <c r="AA214" s="652"/>
      <c r="AB214" s="652"/>
      <c r="AC214" s="652"/>
      <c r="AD214" s="652"/>
      <c r="AE214" s="709" t="str">
        <f>IFERROR(INDEX(Reit!I$8:I$64,MATCH(AF214,Reit!F$8:F$64,0)),"")</f>
        <v/>
      </c>
      <c r="AF214" s="710" t="str">
        <f t="shared" si="22"/>
        <v/>
      </c>
      <c r="AG214" s="709" t="str">
        <f>IFERROR(INDEX(Reit!I$8:I$64,MATCH(AH214,Reit!F$8:F$64,0)),"")</f>
        <v/>
      </c>
      <c r="AH214" s="710" t="str">
        <f t="shared" si="23"/>
        <v/>
      </c>
      <c r="AI214" s="709" t="str">
        <f>IFERROR(INDEX(Reit!I$8:I$64,MATCH(AJ214,Reit!F$8:F$64,0)),"")</f>
        <v/>
      </c>
      <c r="AJ214" s="710" t="str">
        <f t="shared" si="24"/>
        <v/>
      </c>
      <c r="AK214" s="709" t="str">
        <f>IFERROR(INDEX(Reit!I$8:I$64,MATCH(AL214,Reit!F$8:F$64,0)),"")</f>
        <v/>
      </c>
      <c r="AL214" s="710" t="str">
        <f t="shared" si="25"/>
        <v/>
      </c>
      <c r="AM214" s="652"/>
    </row>
    <row r="215" spans="1:39" hidden="1" x14ac:dyDescent="0.2">
      <c r="A215" s="652"/>
      <c r="B215" s="652"/>
      <c r="C215" s="652"/>
      <c r="D215" s="652"/>
      <c r="E215" s="652"/>
      <c r="F215" s="652"/>
      <c r="G215" s="652"/>
      <c r="H215" s="652"/>
      <c r="I215" s="652"/>
      <c r="J215" s="652"/>
      <c r="K215" s="652"/>
      <c r="L215" s="657"/>
      <c r="M215" s="657"/>
      <c r="N215" s="657"/>
      <c r="O215" s="652"/>
      <c r="P215" s="652"/>
      <c r="Q215" s="652"/>
      <c r="R215" s="652"/>
      <c r="S215" s="652"/>
      <c r="T215" s="657"/>
      <c r="U215" s="657"/>
      <c r="V215" s="657"/>
      <c r="W215" s="652"/>
      <c r="X215" s="652"/>
      <c r="Y215" s="652"/>
      <c r="Z215" s="652"/>
      <c r="AA215" s="652"/>
      <c r="AB215" s="652"/>
      <c r="AC215" s="652"/>
      <c r="AD215" s="652"/>
      <c r="AE215" s="709" t="str">
        <f>IFERROR(INDEX(Reit!I$8:I$64,MATCH(AF215,Reit!F$8:F$64,0)),"")</f>
        <v/>
      </c>
      <c r="AF215" s="710" t="str">
        <f t="shared" si="22"/>
        <v/>
      </c>
      <c r="AG215" s="709" t="str">
        <f>IFERROR(INDEX(Reit!I$8:I$64,MATCH(AH215,Reit!F$8:F$64,0)),"")</f>
        <v/>
      </c>
      <c r="AH215" s="710" t="str">
        <f t="shared" si="23"/>
        <v/>
      </c>
      <c r="AI215" s="709" t="str">
        <f>IFERROR(INDEX(Reit!I$8:I$64,MATCH(AJ215,Reit!F$8:F$64,0)),"")</f>
        <v/>
      </c>
      <c r="AJ215" s="710" t="str">
        <f t="shared" si="24"/>
        <v/>
      </c>
      <c r="AK215" s="709" t="str">
        <f>IFERROR(INDEX(Reit!I$8:I$64,MATCH(AL215,Reit!F$8:F$64,0)),"")</f>
        <v/>
      </c>
      <c r="AL215" s="710" t="str">
        <f t="shared" si="25"/>
        <v/>
      </c>
      <c r="AM215" s="652"/>
    </row>
    <row r="216" spans="1:39" hidden="1" x14ac:dyDescent="0.2">
      <c r="A216" s="652"/>
      <c r="B216" s="652"/>
      <c r="C216" s="652"/>
      <c r="D216" s="652"/>
      <c r="E216" s="652"/>
      <c r="F216" s="652"/>
      <c r="G216" s="652"/>
      <c r="H216" s="652"/>
      <c r="I216" s="652"/>
      <c r="J216" s="652"/>
      <c r="K216" s="652"/>
      <c r="L216" s="657"/>
      <c r="M216" s="657"/>
      <c r="N216" s="657"/>
      <c r="O216" s="652"/>
      <c r="P216" s="652"/>
      <c r="Q216" s="652"/>
      <c r="R216" s="652"/>
      <c r="S216" s="652"/>
      <c r="T216" s="657"/>
      <c r="U216" s="657"/>
      <c r="V216" s="657"/>
      <c r="W216" s="652"/>
      <c r="X216" s="652"/>
      <c r="Y216" s="652"/>
      <c r="Z216" s="652"/>
      <c r="AA216" s="652"/>
      <c r="AB216" s="652"/>
      <c r="AC216" s="652"/>
      <c r="AD216" s="652"/>
      <c r="AE216" s="709" t="str">
        <f>IFERROR(INDEX(Reit!I$8:I$64,MATCH(AF216,Reit!F$8:F$64,0)),"")</f>
        <v/>
      </c>
      <c r="AF216" s="710" t="str">
        <f t="shared" si="22"/>
        <v/>
      </c>
      <c r="AG216" s="709" t="str">
        <f>IFERROR(INDEX(Reit!I$8:I$64,MATCH(AH216,Reit!F$8:F$64,0)),"")</f>
        <v/>
      </c>
      <c r="AH216" s="710" t="str">
        <f t="shared" si="23"/>
        <v/>
      </c>
      <c r="AI216" s="709" t="str">
        <f>IFERROR(INDEX(Reit!I$8:I$64,MATCH(AJ216,Reit!F$8:F$64,0)),"")</f>
        <v/>
      </c>
      <c r="AJ216" s="710" t="str">
        <f t="shared" si="24"/>
        <v/>
      </c>
      <c r="AK216" s="709" t="str">
        <f>IFERROR(INDEX(Reit!I$8:I$64,MATCH(AL216,Reit!F$8:F$64,0)),"")</f>
        <v/>
      </c>
      <c r="AL216" s="710" t="str">
        <f t="shared" si="25"/>
        <v/>
      </c>
      <c r="AM216" s="652"/>
    </row>
    <row r="217" spans="1:39" hidden="1" x14ac:dyDescent="0.2">
      <c r="A217" s="652"/>
      <c r="B217" s="652"/>
      <c r="C217" s="652"/>
      <c r="D217" s="652"/>
      <c r="E217" s="652"/>
      <c r="F217" s="652"/>
      <c r="G217" s="652"/>
      <c r="H217" s="652"/>
      <c r="I217" s="652"/>
      <c r="J217" s="652"/>
      <c r="K217" s="652"/>
      <c r="L217" s="657"/>
      <c r="M217" s="657"/>
      <c r="N217" s="657"/>
      <c r="O217" s="652"/>
      <c r="P217" s="652"/>
      <c r="Q217" s="652"/>
      <c r="R217" s="652"/>
      <c r="S217" s="652"/>
      <c r="T217" s="657"/>
      <c r="U217" s="657"/>
      <c r="V217" s="657"/>
      <c r="W217" s="652"/>
      <c r="X217" s="652"/>
      <c r="Y217" s="652"/>
      <c r="Z217" s="652"/>
      <c r="AA217" s="652"/>
      <c r="AB217" s="652"/>
      <c r="AC217" s="652"/>
      <c r="AD217" s="652"/>
      <c r="AE217" s="709" t="str">
        <f>IFERROR(INDEX(Reit!I$8:I$64,MATCH(AF217,Reit!F$8:F$64,0)),"")</f>
        <v/>
      </c>
      <c r="AF217" s="710" t="str">
        <f t="shared" si="22"/>
        <v/>
      </c>
      <c r="AG217" s="709" t="str">
        <f>IFERROR(INDEX(Reit!I$8:I$64,MATCH(AH217,Reit!F$8:F$64,0)),"")</f>
        <v/>
      </c>
      <c r="AH217" s="710" t="str">
        <f t="shared" si="23"/>
        <v/>
      </c>
      <c r="AI217" s="709" t="str">
        <f>IFERROR(INDEX(Reit!I$8:I$64,MATCH(AJ217,Reit!F$8:F$64,0)),"")</f>
        <v/>
      </c>
      <c r="AJ217" s="710" t="str">
        <f t="shared" si="24"/>
        <v/>
      </c>
      <c r="AK217" s="709" t="str">
        <f>IFERROR(INDEX(Reit!I$8:I$64,MATCH(AL217,Reit!F$8:F$64,0)),"")</f>
        <v/>
      </c>
      <c r="AL217" s="710" t="str">
        <f t="shared" si="25"/>
        <v/>
      </c>
      <c r="AM217" s="652"/>
    </row>
    <row r="218" spans="1:39" hidden="1" x14ac:dyDescent="0.2">
      <c r="A218" s="652"/>
      <c r="B218" s="652"/>
      <c r="C218" s="652"/>
      <c r="D218" s="652"/>
      <c r="E218" s="652"/>
      <c r="F218" s="652"/>
      <c r="G218" s="652"/>
      <c r="H218" s="652"/>
      <c r="I218" s="652"/>
      <c r="J218" s="652"/>
      <c r="K218" s="652"/>
      <c r="L218" s="657"/>
      <c r="M218" s="657"/>
      <c r="N218" s="657"/>
      <c r="O218" s="652"/>
      <c r="P218" s="652"/>
      <c r="Q218" s="652"/>
      <c r="R218" s="652"/>
      <c r="S218" s="652"/>
      <c r="T218" s="657"/>
      <c r="U218" s="657"/>
      <c r="V218" s="657"/>
      <c r="W218" s="652"/>
      <c r="X218" s="652"/>
      <c r="Y218" s="652"/>
      <c r="Z218" s="652"/>
      <c r="AA218" s="652"/>
      <c r="AB218" s="652"/>
      <c r="AC218" s="652"/>
      <c r="AD218" s="652"/>
      <c r="AE218" s="709" t="str">
        <f>IFERROR(INDEX(Reit!I$8:I$64,MATCH(AF218,Reit!F$8:F$64,0)),"")</f>
        <v/>
      </c>
      <c r="AF218" s="710" t="str">
        <f t="shared" si="22"/>
        <v/>
      </c>
      <c r="AG218" s="709" t="str">
        <f>IFERROR(INDEX(Reit!I$8:I$64,MATCH(AH218,Reit!F$8:F$64,0)),"")</f>
        <v/>
      </c>
      <c r="AH218" s="710" t="str">
        <f t="shared" si="23"/>
        <v/>
      </c>
      <c r="AI218" s="709" t="str">
        <f>IFERROR(INDEX(Reit!I$8:I$64,MATCH(AJ218,Reit!F$8:F$64,0)),"")</f>
        <v/>
      </c>
      <c r="AJ218" s="710" t="str">
        <f t="shared" si="24"/>
        <v/>
      </c>
      <c r="AK218" s="709" t="str">
        <f>IFERROR(INDEX(Reit!I$8:I$64,MATCH(AL218,Reit!F$8:F$64,0)),"")</f>
        <v/>
      </c>
      <c r="AL218" s="710" t="str">
        <f t="shared" si="25"/>
        <v/>
      </c>
      <c r="AM218" s="652"/>
    </row>
    <row r="219" spans="1:39" hidden="1" x14ac:dyDescent="0.2">
      <c r="A219" s="652"/>
      <c r="B219" s="652"/>
      <c r="C219" s="652"/>
      <c r="D219" s="652"/>
      <c r="E219" s="652"/>
      <c r="F219" s="652"/>
      <c r="G219" s="652"/>
      <c r="H219" s="652"/>
      <c r="I219" s="652"/>
      <c r="J219" s="652"/>
      <c r="K219" s="652"/>
      <c r="L219" s="657"/>
      <c r="M219" s="657"/>
      <c r="N219" s="657"/>
      <c r="O219" s="652"/>
      <c r="P219" s="652"/>
      <c r="Q219" s="652"/>
      <c r="R219" s="652"/>
      <c r="S219" s="652"/>
      <c r="T219" s="657"/>
      <c r="U219" s="657"/>
      <c r="V219" s="657"/>
      <c r="W219" s="652"/>
      <c r="X219" s="652"/>
      <c r="Y219" s="652"/>
      <c r="Z219" s="652"/>
      <c r="AA219" s="652"/>
      <c r="AB219" s="652"/>
      <c r="AC219" s="652"/>
      <c r="AD219" s="652"/>
      <c r="AE219" s="709" t="str">
        <f>IFERROR(INDEX(Reit!I$8:I$64,MATCH(AF219,Reit!F$8:F$64,0)),"")</f>
        <v/>
      </c>
      <c r="AF219" s="710" t="str">
        <f t="shared" si="22"/>
        <v/>
      </c>
      <c r="AG219" s="709" t="str">
        <f>IFERROR(INDEX(Reit!I$8:I$64,MATCH(AH219,Reit!F$8:F$64,0)),"")</f>
        <v/>
      </c>
      <c r="AH219" s="710" t="str">
        <f t="shared" si="23"/>
        <v/>
      </c>
      <c r="AI219" s="709" t="str">
        <f>IFERROR(INDEX(Reit!I$8:I$64,MATCH(AJ219,Reit!F$8:F$64,0)),"")</f>
        <v/>
      </c>
      <c r="AJ219" s="710" t="str">
        <f t="shared" si="24"/>
        <v/>
      </c>
      <c r="AK219" s="709" t="str">
        <f>IFERROR(INDEX(Reit!I$8:I$64,MATCH(AL219,Reit!F$8:F$64,0)),"")</f>
        <v/>
      </c>
      <c r="AL219" s="710" t="str">
        <f t="shared" si="25"/>
        <v/>
      </c>
      <c r="AM219" s="652"/>
    </row>
    <row r="220" spans="1:39" hidden="1" x14ac:dyDescent="0.2">
      <c r="A220" s="652"/>
      <c r="B220" s="652"/>
      <c r="C220" s="652"/>
      <c r="D220" s="652"/>
      <c r="E220" s="652"/>
      <c r="F220" s="652"/>
      <c r="G220" s="652"/>
      <c r="H220" s="652"/>
      <c r="I220" s="652"/>
      <c r="J220" s="652"/>
      <c r="K220" s="652"/>
      <c r="L220" s="657"/>
      <c r="M220" s="657"/>
      <c r="N220" s="657"/>
      <c r="O220" s="652"/>
      <c r="P220" s="652"/>
      <c r="Q220" s="652"/>
      <c r="R220" s="652"/>
      <c r="S220" s="652"/>
      <c r="T220" s="657"/>
      <c r="U220" s="657"/>
      <c r="V220" s="657"/>
      <c r="W220" s="652"/>
      <c r="X220" s="652"/>
      <c r="Y220" s="652"/>
      <c r="Z220" s="652"/>
      <c r="AA220" s="652"/>
      <c r="AB220" s="652"/>
      <c r="AC220" s="652"/>
      <c r="AD220" s="652"/>
      <c r="AE220" s="709" t="str">
        <f>IFERROR(INDEX(Reit!I$8:I$64,MATCH(AF220,Reit!F$8:F$64,0)),"")</f>
        <v/>
      </c>
      <c r="AF220" s="710" t="str">
        <f t="shared" si="22"/>
        <v/>
      </c>
      <c r="AG220" s="709" t="str">
        <f>IFERROR(INDEX(Reit!I$8:I$64,MATCH(AH220,Reit!F$8:F$64,0)),"")</f>
        <v/>
      </c>
      <c r="AH220" s="710" t="str">
        <f t="shared" si="23"/>
        <v/>
      </c>
      <c r="AI220" s="709" t="str">
        <f>IFERROR(INDEX(Reit!I$8:I$64,MATCH(AJ220,Reit!F$8:F$64,0)),"")</f>
        <v/>
      </c>
      <c r="AJ220" s="710" t="str">
        <f t="shared" si="24"/>
        <v/>
      </c>
      <c r="AK220" s="709" t="str">
        <f>IFERROR(INDEX(Reit!I$8:I$64,MATCH(AL220,Reit!F$8:F$64,0)),"")</f>
        <v/>
      </c>
      <c r="AL220" s="710" t="str">
        <f t="shared" si="25"/>
        <v/>
      </c>
      <c r="AM220" s="652"/>
    </row>
    <row r="221" spans="1:39" hidden="1" x14ac:dyDescent="0.2">
      <c r="A221" s="652"/>
      <c r="B221" s="652"/>
      <c r="C221" s="652"/>
      <c r="D221" s="652"/>
      <c r="E221" s="652"/>
      <c r="F221" s="652"/>
      <c r="G221" s="652"/>
      <c r="H221" s="652"/>
      <c r="I221" s="652"/>
      <c r="J221" s="652"/>
      <c r="K221" s="652"/>
      <c r="L221" s="657"/>
      <c r="M221" s="657"/>
      <c r="N221" s="657"/>
      <c r="O221" s="652"/>
      <c r="P221" s="652"/>
      <c r="Q221" s="652"/>
      <c r="R221" s="652"/>
      <c r="S221" s="652"/>
      <c r="T221" s="657"/>
      <c r="U221" s="657"/>
      <c r="V221" s="657"/>
      <c r="W221" s="652"/>
      <c r="X221" s="652"/>
      <c r="Y221" s="652"/>
      <c r="Z221" s="652"/>
      <c r="AA221" s="652"/>
      <c r="AB221" s="652"/>
      <c r="AC221" s="652"/>
      <c r="AD221" s="652"/>
      <c r="AE221" s="709" t="str">
        <f>IFERROR(INDEX(Reit!I$8:I$64,MATCH(AF221,Reit!F$8:F$64,0)),"")</f>
        <v/>
      </c>
      <c r="AF221" s="710" t="str">
        <f t="shared" si="22"/>
        <v/>
      </c>
      <c r="AG221" s="709" t="str">
        <f>IFERROR(INDEX(Reit!I$8:I$64,MATCH(AH221,Reit!F$8:F$64,0)),"")</f>
        <v/>
      </c>
      <c r="AH221" s="710" t="str">
        <f t="shared" si="23"/>
        <v/>
      </c>
      <c r="AI221" s="709" t="str">
        <f>IFERROR(INDEX(Reit!I$8:I$64,MATCH(AJ221,Reit!F$8:F$64,0)),"")</f>
        <v/>
      </c>
      <c r="AJ221" s="710" t="str">
        <f t="shared" si="24"/>
        <v/>
      </c>
      <c r="AK221" s="709" t="str">
        <f>IFERROR(INDEX(Reit!I$8:I$64,MATCH(AL221,Reit!F$8:F$64,0)),"")</f>
        <v/>
      </c>
      <c r="AL221" s="710" t="str">
        <f t="shared" si="25"/>
        <v/>
      </c>
      <c r="AM221" s="652"/>
    </row>
    <row r="222" spans="1:39" hidden="1" x14ac:dyDescent="0.2">
      <c r="A222" s="652"/>
      <c r="B222" s="652"/>
      <c r="C222" s="652"/>
      <c r="D222" s="652"/>
      <c r="E222" s="652"/>
      <c r="F222" s="652"/>
      <c r="G222" s="652"/>
      <c r="H222" s="652"/>
      <c r="I222" s="652"/>
      <c r="J222" s="652"/>
      <c r="K222" s="652"/>
      <c r="L222" s="657"/>
      <c r="M222" s="657"/>
      <c r="N222" s="657"/>
      <c r="O222" s="652"/>
      <c r="P222" s="652"/>
      <c r="Q222" s="652"/>
      <c r="R222" s="652"/>
      <c r="S222" s="652"/>
      <c r="T222" s="657"/>
      <c r="U222" s="657"/>
      <c r="V222" s="657"/>
      <c r="W222" s="652"/>
      <c r="X222" s="652"/>
      <c r="Y222" s="652"/>
      <c r="Z222" s="652"/>
      <c r="AA222" s="652"/>
      <c r="AB222" s="652"/>
      <c r="AC222" s="652"/>
      <c r="AD222" s="652"/>
      <c r="AE222" s="709" t="str">
        <f>IFERROR(INDEX(Reit!I$8:I$64,MATCH(AF222,Reit!F$8:F$64,0)),"")</f>
        <v/>
      </c>
      <c r="AF222" s="710" t="str">
        <f t="shared" si="22"/>
        <v/>
      </c>
      <c r="AG222" s="709" t="str">
        <f>IFERROR(INDEX(Reit!I$8:I$64,MATCH(AH222,Reit!F$8:F$64,0)),"")</f>
        <v/>
      </c>
      <c r="AH222" s="710" t="str">
        <f t="shared" si="23"/>
        <v/>
      </c>
      <c r="AI222" s="709" t="str">
        <f>IFERROR(INDEX(Reit!I$8:I$64,MATCH(AJ222,Reit!F$8:F$64,0)),"")</f>
        <v/>
      </c>
      <c r="AJ222" s="710" t="str">
        <f t="shared" si="24"/>
        <v/>
      </c>
      <c r="AK222" s="709" t="str">
        <f>IFERROR(INDEX(Reit!I$8:I$64,MATCH(AL222,Reit!F$8:F$64,0)),"")</f>
        <v/>
      </c>
      <c r="AL222" s="710" t="str">
        <f t="shared" si="25"/>
        <v/>
      </c>
      <c r="AM222" s="652"/>
    </row>
    <row r="223" spans="1:39" hidden="1" x14ac:dyDescent="0.2">
      <c r="A223" s="652"/>
      <c r="B223" s="652"/>
      <c r="C223" s="652"/>
      <c r="D223" s="652"/>
      <c r="E223" s="652"/>
      <c r="F223" s="652"/>
      <c r="G223" s="652"/>
      <c r="H223" s="652"/>
      <c r="I223" s="652"/>
      <c r="J223" s="652"/>
      <c r="K223" s="652"/>
      <c r="L223" s="657"/>
      <c r="M223" s="657"/>
      <c r="N223" s="657"/>
      <c r="O223" s="652"/>
      <c r="P223" s="652"/>
      <c r="Q223" s="652"/>
      <c r="R223" s="652"/>
      <c r="S223" s="652"/>
      <c r="T223" s="657"/>
      <c r="U223" s="657"/>
      <c r="V223" s="657"/>
      <c r="W223" s="652"/>
      <c r="X223" s="652"/>
      <c r="Y223" s="652"/>
      <c r="Z223" s="652"/>
      <c r="AA223" s="652"/>
      <c r="AB223" s="652"/>
      <c r="AC223" s="652"/>
      <c r="AD223" s="652"/>
      <c r="AE223" s="709" t="str">
        <f>IFERROR(INDEX(Reit!I$8:I$64,MATCH(AF223,Reit!F$8:F$64,0)),"")</f>
        <v/>
      </c>
      <c r="AF223" s="710" t="str">
        <f t="shared" si="22"/>
        <v/>
      </c>
      <c r="AG223" s="709" t="str">
        <f>IFERROR(INDEX(Reit!I$8:I$64,MATCH(AH223,Reit!F$8:F$64,0)),"")</f>
        <v/>
      </c>
      <c r="AH223" s="710" t="str">
        <f t="shared" si="23"/>
        <v/>
      </c>
      <c r="AI223" s="709" t="str">
        <f>IFERROR(INDEX(Reit!I$8:I$64,MATCH(AJ223,Reit!F$8:F$64,0)),"")</f>
        <v/>
      </c>
      <c r="AJ223" s="710" t="str">
        <f t="shared" si="24"/>
        <v/>
      </c>
      <c r="AK223" s="709" t="str">
        <f>IFERROR(INDEX(Reit!I$8:I$64,MATCH(AL223,Reit!F$8:F$64,0)),"")</f>
        <v/>
      </c>
      <c r="AL223" s="710" t="str">
        <f t="shared" si="25"/>
        <v/>
      </c>
      <c r="AM223" s="652"/>
    </row>
    <row r="224" spans="1:39" hidden="1" x14ac:dyDescent="0.2">
      <c r="A224" s="652"/>
      <c r="B224" s="652"/>
      <c r="C224" s="652"/>
      <c r="D224" s="652"/>
      <c r="E224" s="652"/>
      <c r="F224" s="652"/>
      <c r="G224" s="652"/>
      <c r="H224" s="652"/>
      <c r="I224" s="652"/>
      <c r="J224" s="652"/>
      <c r="K224" s="652"/>
      <c r="L224" s="657"/>
      <c r="M224" s="657"/>
      <c r="N224" s="657"/>
      <c r="O224" s="652"/>
      <c r="P224" s="652"/>
      <c r="Q224" s="652"/>
      <c r="R224" s="652"/>
      <c r="S224" s="652"/>
      <c r="T224" s="657"/>
      <c r="U224" s="657"/>
      <c r="V224" s="657"/>
      <c r="W224" s="652"/>
      <c r="X224" s="652"/>
      <c r="Y224" s="652"/>
      <c r="Z224" s="652"/>
      <c r="AA224" s="652"/>
      <c r="AB224" s="652"/>
      <c r="AC224" s="652"/>
      <c r="AD224" s="652"/>
      <c r="AE224" s="709" t="str">
        <f>IFERROR(INDEX(Reit!I$8:I$64,MATCH(AF224,Reit!F$8:F$64,0)),"")</f>
        <v/>
      </c>
      <c r="AF224" s="710" t="str">
        <f t="shared" si="22"/>
        <v/>
      </c>
      <c r="AG224" s="709" t="str">
        <f>IFERROR(INDEX(Reit!I$8:I$64,MATCH(AH224,Reit!F$8:F$64,0)),"")</f>
        <v/>
      </c>
      <c r="AH224" s="710" t="str">
        <f t="shared" si="23"/>
        <v/>
      </c>
      <c r="AI224" s="709" t="str">
        <f>IFERROR(INDEX(Reit!I$8:I$64,MATCH(AJ224,Reit!F$8:F$64,0)),"")</f>
        <v/>
      </c>
      <c r="AJ224" s="710" t="str">
        <f t="shared" si="24"/>
        <v/>
      </c>
      <c r="AK224" s="709" t="str">
        <f>IFERROR(INDEX(Reit!I$8:I$64,MATCH(AL224,Reit!F$8:F$64,0)),"")</f>
        <v/>
      </c>
      <c r="AL224" s="710" t="str">
        <f t="shared" si="25"/>
        <v/>
      </c>
      <c r="AM224" s="652"/>
    </row>
    <row r="225" spans="1:39" hidden="1" x14ac:dyDescent="0.2">
      <c r="A225" s="652"/>
      <c r="B225" s="652"/>
      <c r="C225" s="652"/>
      <c r="D225" s="652"/>
      <c r="E225" s="652"/>
      <c r="F225" s="652"/>
      <c r="G225" s="652"/>
      <c r="H225" s="652"/>
      <c r="I225" s="652"/>
      <c r="J225" s="652"/>
      <c r="K225" s="652"/>
      <c r="L225" s="657"/>
      <c r="M225" s="657"/>
      <c r="N225" s="657"/>
      <c r="O225" s="652"/>
      <c r="P225" s="652"/>
      <c r="Q225" s="652"/>
      <c r="R225" s="652"/>
      <c r="S225" s="652"/>
      <c r="T225" s="657"/>
      <c r="U225" s="657"/>
      <c r="V225" s="657"/>
      <c r="W225" s="652"/>
      <c r="X225" s="652"/>
      <c r="Y225" s="652"/>
      <c r="Z225" s="652"/>
      <c r="AA225" s="652"/>
      <c r="AB225" s="652"/>
      <c r="AC225" s="652"/>
      <c r="AD225" s="652"/>
      <c r="AE225" s="709" t="str">
        <f>IFERROR(INDEX(Reit!I$8:I$64,MATCH(AF225,Reit!F$8:F$64,0)),"")</f>
        <v/>
      </c>
      <c r="AF225" s="710" t="str">
        <f t="shared" si="22"/>
        <v/>
      </c>
      <c r="AG225" s="709" t="str">
        <f>IFERROR(INDEX(Reit!I$8:I$64,MATCH(AH225,Reit!F$8:F$64,0)),"")</f>
        <v/>
      </c>
      <c r="AH225" s="710" t="str">
        <f t="shared" si="23"/>
        <v/>
      </c>
      <c r="AI225" s="709" t="str">
        <f>IFERROR(INDEX(Reit!I$8:I$64,MATCH(AJ225,Reit!F$8:F$64,0)),"")</f>
        <v/>
      </c>
      <c r="AJ225" s="710" t="str">
        <f t="shared" si="24"/>
        <v/>
      </c>
      <c r="AK225" s="709" t="str">
        <f>IFERROR(INDEX(Reit!I$8:I$64,MATCH(AL225,Reit!F$8:F$64,0)),"")</f>
        <v/>
      </c>
      <c r="AL225" s="710" t="str">
        <f t="shared" si="25"/>
        <v/>
      </c>
      <c r="AM225" s="652"/>
    </row>
    <row r="226" spans="1:39" hidden="1" x14ac:dyDescent="0.2">
      <c r="A226" s="652"/>
      <c r="B226" s="652"/>
      <c r="C226" s="652"/>
      <c r="D226" s="652"/>
      <c r="E226" s="652"/>
      <c r="F226" s="652"/>
      <c r="G226" s="652"/>
      <c r="H226" s="652"/>
      <c r="I226" s="652"/>
      <c r="J226" s="652"/>
      <c r="K226" s="652"/>
      <c r="L226" s="657"/>
      <c r="M226" s="657"/>
      <c r="N226" s="657"/>
      <c r="O226" s="652"/>
      <c r="P226" s="652"/>
      <c r="Q226" s="652"/>
      <c r="R226" s="652"/>
      <c r="S226" s="652"/>
      <c r="T226" s="657"/>
      <c r="U226" s="657"/>
      <c r="V226" s="657"/>
      <c r="W226" s="652"/>
      <c r="X226" s="652"/>
      <c r="Y226" s="652"/>
      <c r="Z226" s="652"/>
      <c r="AA226" s="652"/>
      <c r="AB226" s="652"/>
      <c r="AC226" s="652"/>
      <c r="AD226" s="652"/>
      <c r="AE226" s="709" t="str">
        <f>IFERROR(INDEX(Reit!I$8:I$64,MATCH(AF226,Reit!F$8:F$64,0)),"")</f>
        <v/>
      </c>
      <c r="AF226" s="710" t="str">
        <f t="shared" si="22"/>
        <v/>
      </c>
      <c r="AG226" s="709" t="str">
        <f>IFERROR(INDEX(Reit!I$8:I$64,MATCH(AH226,Reit!F$8:F$64,0)),"")</f>
        <v/>
      </c>
      <c r="AH226" s="710" t="str">
        <f t="shared" si="23"/>
        <v/>
      </c>
      <c r="AI226" s="709" t="str">
        <f>IFERROR(INDEX(Reit!I$8:I$64,MATCH(AJ226,Reit!F$8:F$64,0)),"")</f>
        <v/>
      </c>
      <c r="AJ226" s="710" t="str">
        <f t="shared" si="24"/>
        <v/>
      </c>
      <c r="AK226" s="709" t="str">
        <f>IFERROR(INDEX(Reit!I$8:I$64,MATCH(AL226,Reit!F$8:F$64,0)),"")</f>
        <v/>
      </c>
      <c r="AL226" s="710" t="str">
        <f t="shared" si="25"/>
        <v/>
      </c>
      <c r="AM226" s="652"/>
    </row>
    <row r="227" spans="1:39" hidden="1" x14ac:dyDescent="0.2">
      <c r="A227" s="652"/>
      <c r="B227" s="652"/>
      <c r="C227" s="652"/>
      <c r="D227" s="652"/>
      <c r="E227" s="652"/>
      <c r="F227" s="652"/>
      <c r="G227" s="652"/>
      <c r="H227" s="652"/>
      <c r="I227" s="652"/>
      <c r="J227" s="652"/>
      <c r="K227" s="652"/>
      <c r="L227" s="657"/>
      <c r="M227" s="657"/>
      <c r="N227" s="657"/>
      <c r="O227" s="652"/>
      <c r="P227" s="652"/>
      <c r="Q227" s="652"/>
      <c r="R227" s="652"/>
      <c r="S227" s="652"/>
      <c r="T227" s="657"/>
      <c r="U227" s="657"/>
      <c r="V227" s="657"/>
      <c r="W227" s="652"/>
      <c r="X227" s="652"/>
      <c r="Y227" s="652"/>
      <c r="Z227" s="652"/>
      <c r="AA227" s="652"/>
      <c r="AB227" s="652"/>
      <c r="AC227" s="652"/>
      <c r="AD227" s="652"/>
      <c r="AE227" s="709" t="str">
        <f>IFERROR(INDEX(Reit!I$8:I$64,MATCH(AF227,Reit!F$8:F$64,0)),"")</f>
        <v/>
      </c>
      <c r="AF227" s="710" t="str">
        <f t="shared" si="22"/>
        <v/>
      </c>
      <c r="AG227" s="709" t="str">
        <f>IFERROR(INDEX(Reit!I$8:I$64,MATCH(AH227,Reit!F$8:F$64,0)),"")</f>
        <v/>
      </c>
      <c r="AH227" s="710" t="str">
        <f t="shared" si="23"/>
        <v/>
      </c>
      <c r="AI227" s="709" t="str">
        <f>IFERROR(INDEX(Reit!I$8:I$64,MATCH(AJ227,Reit!F$8:F$64,0)),"")</f>
        <v/>
      </c>
      <c r="AJ227" s="710" t="str">
        <f t="shared" si="24"/>
        <v/>
      </c>
      <c r="AK227" s="709" t="str">
        <f>IFERROR(INDEX(Reit!I$8:I$64,MATCH(AL227,Reit!F$8:F$64,0)),"")</f>
        <v/>
      </c>
      <c r="AL227" s="710" t="str">
        <f t="shared" si="25"/>
        <v/>
      </c>
      <c r="AM227" s="652"/>
    </row>
    <row r="228" spans="1:39" hidden="1" x14ac:dyDescent="0.2">
      <c r="A228" s="652"/>
      <c r="B228" s="652"/>
      <c r="C228" s="652"/>
      <c r="D228" s="652"/>
      <c r="E228" s="652"/>
      <c r="F228" s="652"/>
      <c r="G228" s="652"/>
      <c r="H228" s="652"/>
      <c r="I228" s="652"/>
      <c r="J228" s="652"/>
      <c r="K228" s="652"/>
      <c r="L228" s="657"/>
      <c r="M228" s="657"/>
      <c r="N228" s="657"/>
      <c r="O228" s="652"/>
      <c r="P228" s="652"/>
      <c r="Q228" s="652"/>
      <c r="R228" s="652"/>
      <c r="S228" s="652"/>
      <c r="T228" s="657"/>
      <c r="U228" s="657"/>
      <c r="V228" s="657"/>
      <c r="W228" s="652"/>
      <c r="X228" s="652"/>
      <c r="Y228" s="652"/>
      <c r="Z228" s="652"/>
      <c r="AA228" s="652"/>
      <c r="AB228" s="652"/>
      <c r="AC228" s="652"/>
      <c r="AD228" s="652"/>
      <c r="AE228" s="709" t="str">
        <f>IFERROR(INDEX(Reit!I$8:I$64,MATCH(AF228,Reit!F$8:F$64,0)),"")</f>
        <v/>
      </c>
      <c r="AF228" s="710" t="str">
        <f t="shared" si="22"/>
        <v/>
      </c>
      <c r="AG228" s="709" t="str">
        <f>IFERROR(INDEX(Reit!I$8:I$64,MATCH(AH228,Reit!F$8:F$64,0)),"")</f>
        <v/>
      </c>
      <c r="AH228" s="710" t="str">
        <f t="shared" si="23"/>
        <v/>
      </c>
      <c r="AI228" s="709" t="str">
        <f>IFERROR(INDEX(Reit!I$8:I$64,MATCH(AJ228,Reit!F$8:F$64,0)),"")</f>
        <v/>
      </c>
      <c r="AJ228" s="710" t="str">
        <f t="shared" si="24"/>
        <v/>
      </c>
      <c r="AK228" s="709" t="str">
        <f>IFERROR(INDEX(Reit!I$8:I$64,MATCH(AL228,Reit!F$8:F$64,0)),"")</f>
        <v/>
      </c>
      <c r="AL228" s="710" t="str">
        <f t="shared" si="25"/>
        <v/>
      </c>
      <c r="AM228" s="652"/>
    </row>
    <row r="229" spans="1:39" hidden="1" x14ac:dyDescent="0.2">
      <c r="A229" s="652"/>
      <c r="B229" s="652"/>
      <c r="C229" s="652"/>
      <c r="D229" s="652"/>
      <c r="E229" s="652"/>
      <c r="F229" s="652"/>
      <c r="G229" s="652"/>
      <c r="H229" s="652"/>
      <c r="I229" s="652"/>
      <c r="J229" s="652"/>
      <c r="K229" s="652"/>
      <c r="L229" s="657"/>
      <c r="M229" s="657"/>
      <c r="N229" s="657"/>
      <c r="O229" s="652"/>
      <c r="P229" s="652"/>
      <c r="Q229" s="652"/>
      <c r="R229" s="652"/>
      <c r="S229" s="652"/>
      <c r="T229" s="657"/>
      <c r="U229" s="657"/>
      <c r="V229" s="657"/>
      <c r="W229" s="652"/>
      <c r="X229" s="652"/>
      <c r="Y229" s="652"/>
      <c r="Z229" s="652"/>
      <c r="AA229" s="652"/>
      <c r="AB229" s="652"/>
      <c r="AC229" s="652"/>
      <c r="AD229" s="652"/>
      <c r="AE229" s="709" t="str">
        <f>IFERROR(INDEX(Reit!I$8:I$64,MATCH(AF229,Reit!F$8:F$64,0)),"")</f>
        <v/>
      </c>
      <c r="AF229" s="710" t="str">
        <f t="shared" si="22"/>
        <v/>
      </c>
      <c r="AG229" s="709" t="str">
        <f>IFERROR(INDEX(Reit!I$8:I$64,MATCH(AH229,Reit!F$8:F$64,0)),"")</f>
        <v/>
      </c>
      <c r="AH229" s="710" t="str">
        <f t="shared" si="23"/>
        <v/>
      </c>
      <c r="AI229" s="709" t="str">
        <f>IFERROR(INDEX(Reit!I$8:I$64,MATCH(AJ229,Reit!F$8:F$64,0)),"")</f>
        <v/>
      </c>
      <c r="AJ229" s="710" t="str">
        <f t="shared" si="24"/>
        <v/>
      </c>
      <c r="AK229" s="709" t="str">
        <f>IFERROR(INDEX(Reit!I$8:I$64,MATCH(AL229,Reit!F$8:F$64,0)),"")</f>
        <v/>
      </c>
      <c r="AL229" s="710" t="str">
        <f t="shared" si="25"/>
        <v/>
      </c>
      <c r="AM229" s="652"/>
    </row>
    <row r="230" spans="1:39" hidden="1" x14ac:dyDescent="0.2">
      <c r="A230" s="652"/>
      <c r="B230" s="652"/>
      <c r="C230" s="652"/>
      <c r="D230" s="652"/>
      <c r="E230" s="652"/>
      <c r="F230" s="652"/>
      <c r="G230" s="652"/>
      <c r="H230" s="652"/>
      <c r="I230" s="652"/>
      <c r="J230" s="652"/>
      <c r="K230" s="652"/>
      <c r="L230" s="657"/>
      <c r="M230" s="657"/>
      <c r="N230" s="657"/>
      <c r="O230" s="652"/>
      <c r="P230" s="652"/>
      <c r="Q230" s="652"/>
      <c r="R230" s="652"/>
      <c r="S230" s="652"/>
      <c r="T230" s="657"/>
      <c r="U230" s="657"/>
      <c r="V230" s="657"/>
      <c r="W230" s="652"/>
      <c r="X230" s="652"/>
      <c r="Y230" s="652"/>
      <c r="Z230" s="652"/>
      <c r="AA230" s="652"/>
      <c r="AB230" s="652"/>
      <c r="AC230" s="652"/>
      <c r="AD230" s="652"/>
      <c r="AE230" s="709" t="str">
        <f>IFERROR(INDEX(Reit!I$8:I$64,MATCH(AF230,Reit!F$8:F$64,0)),"")</f>
        <v/>
      </c>
      <c r="AF230" s="710" t="str">
        <f t="shared" si="22"/>
        <v/>
      </c>
      <c r="AG230" s="709" t="str">
        <f>IFERROR(INDEX(Reit!I$8:I$64,MATCH(AH230,Reit!F$8:F$64,0)),"")</f>
        <v/>
      </c>
      <c r="AH230" s="710" t="str">
        <f t="shared" si="23"/>
        <v/>
      </c>
      <c r="AI230" s="709" t="str">
        <f>IFERROR(INDEX(Reit!I$8:I$64,MATCH(AJ230,Reit!F$8:F$64,0)),"")</f>
        <v/>
      </c>
      <c r="AJ230" s="710" t="str">
        <f t="shared" si="24"/>
        <v/>
      </c>
      <c r="AK230" s="709" t="str">
        <f>IFERROR(INDEX(Reit!I$8:I$64,MATCH(AL230,Reit!F$8:F$64,0)),"")</f>
        <v/>
      </c>
      <c r="AL230" s="710" t="str">
        <f t="shared" si="25"/>
        <v/>
      </c>
      <c r="AM230" s="652"/>
    </row>
    <row r="231" spans="1:39" hidden="1" x14ac:dyDescent="0.2">
      <c r="A231" s="652"/>
      <c r="B231" s="652"/>
      <c r="C231" s="652"/>
      <c r="D231" s="652"/>
      <c r="E231" s="652"/>
      <c r="F231" s="652"/>
      <c r="G231" s="652"/>
      <c r="H231" s="652"/>
      <c r="I231" s="652"/>
      <c r="J231" s="652"/>
      <c r="K231" s="652"/>
      <c r="L231" s="657"/>
      <c r="M231" s="657"/>
      <c r="N231" s="657"/>
      <c r="O231" s="652"/>
      <c r="P231" s="652"/>
      <c r="Q231" s="652"/>
      <c r="R231" s="652"/>
      <c r="S231" s="652"/>
      <c r="T231" s="657"/>
      <c r="U231" s="657"/>
      <c r="V231" s="657"/>
      <c r="W231" s="652"/>
      <c r="X231" s="652"/>
      <c r="Y231" s="652"/>
      <c r="Z231" s="652"/>
      <c r="AA231" s="652"/>
      <c r="AB231" s="652"/>
      <c r="AC231" s="652"/>
      <c r="AD231" s="652"/>
      <c r="AE231" s="709" t="str">
        <f>IFERROR(INDEX(Reit!I$8:I$64,MATCH(AF231,Reit!F$8:F$64,0)),"")</f>
        <v/>
      </c>
      <c r="AF231" s="710" t="str">
        <f t="shared" si="22"/>
        <v/>
      </c>
      <c r="AG231" s="709" t="str">
        <f>IFERROR(INDEX(Reit!I$8:I$64,MATCH(AH231,Reit!F$8:F$64,0)),"")</f>
        <v/>
      </c>
      <c r="AH231" s="710" t="str">
        <f t="shared" si="23"/>
        <v/>
      </c>
      <c r="AI231" s="709" t="str">
        <f>IFERROR(INDEX(Reit!I$8:I$64,MATCH(AJ231,Reit!F$8:F$64,0)),"")</f>
        <v/>
      </c>
      <c r="AJ231" s="710" t="str">
        <f t="shared" si="24"/>
        <v/>
      </c>
      <c r="AK231" s="709" t="str">
        <f>IFERROR(INDEX(Reit!I$8:I$64,MATCH(AL231,Reit!F$8:F$64,0)),"")</f>
        <v/>
      </c>
      <c r="AL231" s="710" t="str">
        <f t="shared" si="25"/>
        <v/>
      </c>
      <c r="AM231" s="652"/>
    </row>
    <row r="232" spans="1:39" hidden="1" x14ac:dyDescent="0.2">
      <c r="A232" s="652"/>
      <c r="B232" s="652"/>
      <c r="C232" s="652"/>
      <c r="D232" s="652"/>
      <c r="E232" s="652"/>
      <c r="F232" s="652"/>
      <c r="G232" s="652"/>
      <c r="H232" s="652"/>
      <c r="I232" s="652"/>
      <c r="J232" s="652"/>
      <c r="K232" s="652"/>
      <c r="L232" s="657"/>
      <c r="M232" s="657"/>
      <c r="N232" s="657"/>
      <c r="O232" s="652"/>
      <c r="P232" s="652"/>
      <c r="Q232" s="652"/>
      <c r="R232" s="652"/>
      <c r="S232" s="652"/>
      <c r="T232" s="657"/>
      <c r="U232" s="657"/>
      <c r="V232" s="657"/>
      <c r="W232" s="652"/>
      <c r="X232" s="652"/>
      <c r="Y232" s="652"/>
      <c r="Z232" s="652"/>
      <c r="AA232" s="652"/>
      <c r="AB232" s="652"/>
      <c r="AC232" s="652"/>
      <c r="AD232" s="652"/>
      <c r="AE232" s="709" t="str">
        <f>IFERROR(INDEX(Reit!I$8:I$64,MATCH(AF232,Reit!F$8:F$64,0)),"")</f>
        <v/>
      </c>
      <c r="AF232" s="710" t="str">
        <f t="shared" si="22"/>
        <v/>
      </c>
      <c r="AG232" s="709" t="str">
        <f>IFERROR(INDEX(Reit!I$8:I$64,MATCH(AH232,Reit!F$8:F$64,0)),"")</f>
        <v/>
      </c>
      <c r="AH232" s="710" t="str">
        <f t="shared" si="23"/>
        <v/>
      </c>
      <c r="AI232" s="709" t="str">
        <f>IFERROR(INDEX(Reit!I$8:I$64,MATCH(AJ232,Reit!F$8:F$64,0)),"")</f>
        <v/>
      </c>
      <c r="AJ232" s="710" t="str">
        <f t="shared" si="24"/>
        <v/>
      </c>
      <c r="AK232" s="709" t="str">
        <f>IFERROR(INDEX(Reit!I$8:I$64,MATCH(AL232,Reit!F$8:F$64,0)),"")</f>
        <v/>
      </c>
      <c r="AL232" s="710" t="str">
        <f t="shared" si="25"/>
        <v/>
      </c>
      <c r="AM232" s="652"/>
    </row>
    <row r="233" spans="1:39" hidden="1" x14ac:dyDescent="0.2">
      <c r="A233" s="652"/>
      <c r="B233" s="652"/>
      <c r="C233" s="652"/>
      <c r="D233" s="652"/>
      <c r="E233" s="652"/>
      <c r="F233" s="652"/>
      <c r="G233" s="652"/>
      <c r="H233" s="652"/>
      <c r="I233" s="652"/>
      <c r="J233" s="652"/>
      <c r="K233" s="652"/>
      <c r="L233" s="657"/>
      <c r="M233" s="657"/>
      <c r="N233" s="657"/>
      <c r="O233" s="652"/>
      <c r="P233" s="652"/>
      <c r="Q233" s="652"/>
      <c r="R233" s="652"/>
      <c r="S233" s="652"/>
      <c r="T233" s="657"/>
      <c r="U233" s="657"/>
      <c r="V233" s="657"/>
      <c r="W233" s="652"/>
      <c r="X233" s="652"/>
      <c r="Y233" s="652"/>
      <c r="Z233" s="652"/>
      <c r="AA233" s="652"/>
      <c r="AB233" s="652"/>
      <c r="AC233" s="652"/>
      <c r="AD233" s="652"/>
      <c r="AE233" s="709" t="str">
        <f>IFERROR(INDEX(Reit!I$8:I$64,MATCH(AF233,Reit!F$8:F$64,0)),"")</f>
        <v/>
      </c>
      <c r="AF233" s="710" t="str">
        <f t="shared" si="22"/>
        <v/>
      </c>
      <c r="AG233" s="709" t="str">
        <f>IFERROR(INDEX(Reit!I$8:I$64,MATCH(AH233,Reit!F$8:F$64,0)),"")</f>
        <v/>
      </c>
      <c r="AH233" s="710" t="str">
        <f t="shared" si="23"/>
        <v/>
      </c>
      <c r="AI233" s="709" t="str">
        <f>IFERROR(INDEX(Reit!I$8:I$64,MATCH(AJ233,Reit!F$8:F$64,0)),"")</f>
        <v/>
      </c>
      <c r="AJ233" s="710" t="str">
        <f t="shared" si="24"/>
        <v/>
      </c>
      <c r="AK233" s="709" t="str">
        <f>IFERROR(INDEX(Reit!I$8:I$64,MATCH(AL233,Reit!F$8:F$64,0)),"")</f>
        <v/>
      </c>
      <c r="AL233" s="710" t="str">
        <f t="shared" si="25"/>
        <v/>
      </c>
      <c r="AM233" s="652"/>
    </row>
    <row r="234" spans="1:39" hidden="1" x14ac:dyDescent="0.2">
      <c r="A234" s="652"/>
      <c r="B234" s="652"/>
      <c r="C234" s="652"/>
      <c r="D234" s="652"/>
      <c r="E234" s="652"/>
      <c r="F234" s="652"/>
      <c r="G234" s="652"/>
      <c r="H234" s="652"/>
      <c r="I234" s="652"/>
      <c r="J234" s="652"/>
      <c r="K234" s="652"/>
      <c r="L234" s="657"/>
      <c r="M234" s="657"/>
      <c r="N234" s="657"/>
      <c r="O234" s="652"/>
      <c r="P234" s="652"/>
      <c r="Q234" s="652"/>
      <c r="R234" s="652"/>
      <c r="S234" s="652"/>
      <c r="T234" s="657"/>
      <c r="U234" s="657"/>
      <c r="V234" s="657"/>
      <c r="W234" s="652"/>
      <c r="X234" s="652"/>
      <c r="Y234" s="652"/>
      <c r="Z234" s="652"/>
      <c r="AA234" s="652"/>
      <c r="AB234" s="652"/>
      <c r="AC234" s="652"/>
      <c r="AD234" s="652"/>
      <c r="AE234" s="709" t="str">
        <f>IFERROR(INDEX(Reit!I$8:I$64,MATCH(AF234,Reit!F$8:F$64,0)),"")</f>
        <v/>
      </c>
      <c r="AF234" s="710" t="str">
        <f t="shared" si="22"/>
        <v/>
      </c>
      <c r="AG234" s="709" t="str">
        <f>IFERROR(INDEX(Reit!I$8:I$64,MATCH(AH234,Reit!F$8:F$64,0)),"")</f>
        <v/>
      </c>
      <c r="AH234" s="710" t="str">
        <f t="shared" si="23"/>
        <v/>
      </c>
      <c r="AI234" s="709" t="str">
        <f>IFERROR(INDEX(Reit!I$8:I$64,MATCH(AJ234,Reit!F$8:F$64,0)),"")</f>
        <v/>
      </c>
      <c r="AJ234" s="710" t="str">
        <f t="shared" si="24"/>
        <v/>
      </c>
      <c r="AK234" s="709" t="str">
        <f>IFERROR(INDEX(Reit!I$8:I$64,MATCH(AL234,Reit!F$8:F$64,0)),"")</f>
        <v/>
      </c>
      <c r="AL234" s="710" t="str">
        <f t="shared" si="25"/>
        <v/>
      </c>
      <c r="AM234" s="652"/>
    </row>
    <row r="235" spans="1:39" hidden="1" x14ac:dyDescent="0.2">
      <c r="A235" s="652"/>
      <c r="B235" s="652"/>
      <c r="C235" s="652"/>
      <c r="D235" s="652"/>
      <c r="E235" s="652"/>
      <c r="F235" s="652"/>
      <c r="G235" s="652"/>
      <c r="H235" s="652"/>
      <c r="I235" s="652"/>
      <c r="J235" s="652"/>
      <c r="K235" s="652"/>
      <c r="L235" s="657"/>
      <c r="M235" s="657"/>
      <c r="N235" s="657"/>
      <c r="O235" s="652"/>
      <c r="P235" s="652"/>
      <c r="Q235" s="652"/>
      <c r="R235" s="652"/>
      <c r="S235" s="652"/>
      <c r="T235" s="657"/>
      <c r="U235" s="657"/>
      <c r="V235" s="657"/>
      <c r="W235" s="652"/>
      <c r="X235" s="652"/>
      <c r="Y235" s="652"/>
      <c r="Z235" s="652"/>
      <c r="AA235" s="652"/>
      <c r="AB235" s="652"/>
      <c r="AC235" s="652"/>
      <c r="AD235" s="652"/>
      <c r="AE235" s="709" t="str">
        <f>IFERROR(INDEX(Reit!I$8:I$64,MATCH(AF235,Reit!F$8:F$64,0)),"")</f>
        <v/>
      </c>
      <c r="AF235" s="710" t="str">
        <f t="shared" si="22"/>
        <v/>
      </c>
      <c r="AG235" s="709" t="str">
        <f>IFERROR(INDEX(Reit!I$8:I$64,MATCH(AH235,Reit!F$8:F$64,0)),"")</f>
        <v/>
      </c>
      <c r="AH235" s="710" t="str">
        <f t="shared" si="23"/>
        <v/>
      </c>
      <c r="AI235" s="709" t="str">
        <f>IFERROR(INDEX(Reit!I$8:I$64,MATCH(AJ235,Reit!F$8:F$64,0)),"")</f>
        <v/>
      </c>
      <c r="AJ235" s="710" t="str">
        <f t="shared" si="24"/>
        <v/>
      </c>
      <c r="AK235" s="709" t="str">
        <f>IFERROR(INDEX(Reit!I$8:I$64,MATCH(AL235,Reit!F$8:F$64,0)),"")</f>
        <v/>
      </c>
      <c r="AL235" s="710" t="str">
        <f t="shared" si="25"/>
        <v/>
      </c>
      <c r="AM235" s="652"/>
    </row>
    <row r="236" spans="1:39" hidden="1" x14ac:dyDescent="0.2">
      <c r="A236" s="652"/>
      <c r="B236" s="652"/>
      <c r="C236" s="652"/>
      <c r="D236" s="652"/>
      <c r="E236" s="652"/>
      <c r="F236" s="652"/>
      <c r="G236" s="652"/>
      <c r="H236" s="652"/>
      <c r="I236" s="652"/>
      <c r="J236" s="652"/>
      <c r="K236" s="652"/>
      <c r="L236" s="657"/>
      <c r="M236" s="657"/>
      <c r="N236" s="657"/>
      <c r="O236" s="652"/>
      <c r="P236" s="652"/>
      <c r="Q236" s="652"/>
      <c r="R236" s="652"/>
      <c r="S236" s="652"/>
      <c r="T236" s="657"/>
      <c r="U236" s="657"/>
      <c r="V236" s="657"/>
      <c r="W236" s="652"/>
      <c r="X236" s="652"/>
      <c r="Y236" s="652"/>
      <c r="Z236" s="652"/>
      <c r="AA236" s="652"/>
      <c r="AB236" s="652"/>
      <c r="AC236" s="652"/>
      <c r="AD236" s="652"/>
      <c r="AE236" s="709" t="str">
        <f>IFERROR(INDEX(Reit!I$8:I$64,MATCH(AF236,Reit!F$8:F$64,0)),"")</f>
        <v/>
      </c>
      <c r="AF236" s="710" t="str">
        <f t="shared" si="22"/>
        <v/>
      </c>
      <c r="AG236" s="709" t="str">
        <f>IFERROR(INDEX(Reit!I$8:I$64,MATCH(AH236,Reit!F$8:F$64,0)),"")</f>
        <v/>
      </c>
      <c r="AH236" s="710" t="str">
        <f t="shared" si="23"/>
        <v/>
      </c>
      <c r="AI236" s="709" t="str">
        <f>IFERROR(INDEX(Reit!I$8:I$64,MATCH(AJ236,Reit!F$8:F$64,0)),"")</f>
        <v/>
      </c>
      <c r="AJ236" s="710" t="str">
        <f t="shared" si="24"/>
        <v/>
      </c>
      <c r="AK236" s="709" t="str">
        <f>IFERROR(INDEX(Reit!I$8:I$64,MATCH(AL236,Reit!F$8:F$64,0)),"")</f>
        <v/>
      </c>
      <c r="AL236" s="710" t="str">
        <f t="shared" si="25"/>
        <v/>
      </c>
      <c r="AM236" s="652"/>
    </row>
    <row r="237" spans="1:39" hidden="1" x14ac:dyDescent="0.2">
      <c r="A237" s="652"/>
      <c r="B237" s="652"/>
      <c r="C237" s="652"/>
      <c r="D237" s="652"/>
      <c r="E237" s="652"/>
      <c r="F237" s="652"/>
      <c r="G237" s="652"/>
      <c r="H237" s="652"/>
      <c r="I237" s="652"/>
      <c r="J237" s="652"/>
      <c r="K237" s="652"/>
      <c r="L237" s="657"/>
      <c r="M237" s="657"/>
      <c r="N237" s="657"/>
      <c r="O237" s="652"/>
      <c r="P237" s="652"/>
      <c r="Q237" s="652"/>
      <c r="R237" s="652"/>
      <c r="S237" s="652"/>
      <c r="T237" s="657"/>
      <c r="U237" s="657"/>
      <c r="V237" s="657"/>
      <c r="W237" s="652"/>
      <c r="X237" s="652"/>
      <c r="Y237" s="652"/>
      <c r="Z237" s="652"/>
      <c r="AA237" s="652"/>
      <c r="AB237" s="652"/>
      <c r="AC237" s="652"/>
      <c r="AD237" s="652"/>
      <c r="AE237" s="709" t="str">
        <f>IFERROR(INDEX(Reit!I$8:I$64,MATCH(AF237,Reit!F$8:F$64,0)),"")</f>
        <v/>
      </c>
      <c r="AF237" s="710" t="str">
        <f t="shared" si="22"/>
        <v/>
      </c>
      <c r="AG237" s="709" t="str">
        <f>IFERROR(INDEX(Reit!I$8:I$64,MATCH(AH237,Reit!F$8:F$64,0)),"")</f>
        <v/>
      </c>
      <c r="AH237" s="710" t="str">
        <f t="shared" si="23"/>
        <v/>
      </c>
      <c r="AI237" s="709" t="str">
        <f>IFERROR(INDEX(Reit!I$8:I$64,MATCH(AJ237,Reit!F$8:F$64,0)),"")</f>
        <v/>
      </c>
      <c r="AJ237" s="710" t="str">
        <f t="shared" si="24"/>
        <v/>
      </c>
      <c r="AK237" s="709" t="str">
        <f>IFERROR(INDEX(Reit!I$8:I$64,MATCH(AL237,Reit!F$8:F$64,0)),"")</f>
        <v/>
      </c>
      <c r="AL237" s="710" t="str">
        <f t="shared" si="25"/>
        <v/>
      </c>
      <c r="AM237" s="652"/>
    </row>
    <row r="238" spans="1:39" hidden="1" x14ac:dyDescent="0.2">
      <c r="A238" s="652"/>
      <c r="B238" s="652"/>
      <c r="C238" s="652"/>
      <c r="D238" s="652"/>
      <c r="E238" s="652"/>
      <c r="F238" s="652"/>
      <c r="G238" s="652"/>
      <c r="H238" s="652"/>
      <c r="I238" s="652"/>
      <c r="J238" s="652"/>
      <c r="K238" s="652"/>
      <c r="L238" s="657"/>
      <c r="M238" s="657"/>
      <c r="N238" s="657"/>
      <c r="O238" s="652"/>
      <c r="P238" s="652"/>
      <c r="Q238" s="652"/>
      <c r="R238" s="652"/>
      <c r="S238" s="652"/>
      <c r="T238" s="657"/>
      <c r="U238" s="657"/>
      <c r="V238" s="657"/>
      <c r="W238" s="652"/>
      <c r="X238" s="652"/>
      <c r="Y238" s="652"/>
      <c r="Z238" s="652"/>
      <c r="AA238" s="652"/>
      <c r="AB238" s="652"/>
      <c r="AC238" s="652"/>
      <c r="AD238" s="652"/>
      <c r="AE238" s="709" t="str">
        <f>IFERROR(INDEX(Reit!I$8:I$64,MATCH(AF238,Reit!F$8:F$64,0)),"")</f>
        <v/>
      </c>
      <c r="AF238" s="710" t="str">
        <f t="shared" si="22"/>
        <v/>
      </c>
      <c r="AG238" s="709" t="str">
        <f>IFERROR(INDEX(Reit!I$8:I$64,MATCH(AH238,Reit!F$8:F$64,0)),"")</f>
        <v/>
      </c>
      <c r="AH238" s="710" t="str">
        <f t="shared" si="23"/>
        <v/>
      </c>
      <c r="AI238" s="709" t="str">
        <f>IFERROR(INDEX(Reit!I$8:I$64,MATCH(AJ238,Reit!F$8:F$64,0)),"")</f>
        <v/>
      </c>
      <c r="AJ238" s="710" t="str">
        <f t="shared" si="24"/>
        <v/>
      </c>
      <c r="AK238" s="709" t="str">
        <f>IFERROR(INDEX(Reit!I$8:I$64,MATCH(AL238,Reit!F$8:F$64,0)),"")</f>
        <v/>
      </c>
      <c r="AL238" s="710" t="str">
        <f t="shared" si="25"/>
        <v/>
      </c>
      <c r="AM238" s="652"/>
    </row>
    <row r="239" spans="1:39" hidden="1" x14ac:dyDescent="0.2">
      <c r="A239" s="652"/>
      <c r="B239" s="652"/>
      <c r="C239" s="652"/>
      <c r="D239" s="652"/>
      <c r="E239" s="652"/>
      <c r="F239" s="652"/>
      <c r="G239" s="652"/>
      <c r="H239" s="652"/>
      <c r="I239" s="652"/>
      <c r="J239" s="652"/>
      <c r="K239" s="652"/>
      <c r="L239" s="657"/>
      <c r="M239" s="657"/>
      <c r="N239" s="657"/>
      <c r="O239" s="652"/>
      <c r="P239" s="652"/>
      <c r="Q239" s="652"/>
      <c r="R239" s="652"/>
      <c r="S239" s="652"/>
      <c r="T239" s="657"/>
      <c r="U239" s="657"/>
      <c r="V239" s="657"/>
      <c r="W239" s="652"/>
      <c r="X239" s="652"/>
      <c r="Y239" s="652"/>
      <c r="Z239" s="652"/>
      <c r="AA239" s="652"/>
      <c r="AB239" s="652"/>
      <c r="AC239" s="652"/>
      <c r="AD239" s="652"/>
      <c r="AE239" s="709" t="str">
        <f>IFERROR(INDEX(Reit!I$8:I$64,MATCH(AF239,Reit!F$8:F$64,0)),"")</f>
        <v/>
      </c>
      <c r="AF239" s="710" t="str">
        <f t="shared" si="22"/>
        <v/>
      </c>
      <c r="AG239" s="709" t="str">
        <f>IFERROR(INDEX(Reit!I$8:I$64,MATCH(AH239,Reit!F$8:F$64,0)),"")</f>
        <v/>
      </c>
      <c r="AH239" s="710" t="str">
        <f t="shared" si="23"/>
        <v/>
      </c>
      <c r="AI239" s="709" t="str">
        <f>IFERROR(INDEX(Reit!I$8:I$64,MATCH(AJ239,Reit!F$8:F$64,0)),"")</f>
        <v/>
      </c>
      <c r="AJ239" s="710" t="str">
        <f t="shared" si="24"/>
        <v/>
      </c>
      <c r="AK239" s="709" t="str">
        <f>IFERROR(INDEX(Reit!I$8:I$64,MATCH(AL239,Reit!F$8:F$64,0)),"")</f>
        <v/>
      </c>
      <c r="AL239" s="710" t="str">
        <f t="shared" si="25"/>
        <v/>
      </c>
      <c r="AM239" s="652"/>
    </row>
    <row r="240" spans="1:39" hidden="1" x14ac:dyDescent="0.2">
      <c r="A240" s="652"/>
      <c r="B240" s="652"/>
      <c r="C240" s="652"/>
      <c r="D240" s="652"/>
      <c r="E240" s="652"/>
      <c r="F240" s="652"/>
      <c r="G240" s="652"/>
      <c r="H240" s="652"/>
      <c r="I240" s="652"/>
      <c r="J240" s="652"/>
      <c r="K240" s="652"/>
      <c r="L240" s="657"/>
      <c r="M240" s="657"/>
      <c r="N240" s="657"/>
      <c r="O240" s="652"/>
      <c r="P240" s="652"/>
      <c r="Q240" s="652"/>
      <c r="R240" s="652"/>
      <c r="S240" s="652"/>
      <c r="T240" s="657"/>
      <c r="U240" s="657"/>
      <c r="V240" s="657"/>
      <c r="W240" s="652"/>
      <c r="X240" s="652"/>
      <c r="Y240" s="652"/>
      <c r="Z240" s="652"/>
      <c r="AA240" s="652"/>
      <c r="AB240" s="652"/>
      <c r="AC240" s="652"/>
      <c r="AD240" s="652"/>
      <c r="AE240" s="709" t="str">
        <f>IFERROR(INDEX(Reit!I$8:I$64,MATCH(AF240,Reit!F$8:F$64,0)),"")</f>
        <v/>
      </c>
      <c r="AF240" s="710" t="str">
        <f t="shared" si="22"/>
        <v/>
      </c>
      <c r="AG240" s="709" t="str">
        <f>IFERROR(INDEX(Reit!I$8:I$64,MATCH(AH240,Reit!F$8:F$64,0)),"")</f>
        <v/>
      </c>
      <c r="AH240" s="710" t="str">
        <f t="shared" si="23"/>
        <v/>
      </c>
      <c r="AI240" s="709" t="str">
        <f>IFERROR(INDEX(Reit!I$8:I$64,MATCH(AJ240,Reit!F$8:F$64,0)),"")</f>
        <v/>
      </c>
      <c r="AJ240" s="710" t="str">
        <f t="shared" si="24"/>
        <v/>
      </c>
      <c r="AK240" s="709" t="str">
        <f>IFERROR(INDEX(Reit!I$8:I$64,MATCH(AL240,Reit!F$8:F$64,0)),"")</f>
        <v/>
      </c>
      <c r="AL240" s="710" t="str">
        <f t="shared" si="25"/>
        <v/>
      </c>
      <c r="AM240" s="652"/>
    </row>
    <row r="241" spans="1:39" hidden="1" x14ac:dyDescent="0.2">
      <c r="A241" s="652"/>
      <c r="B241" s="652"/>
      <c r="C241" s="652"/>
      <c r="D241" s="652"/>
      <c r="E241" s="652"/>
      <c r="F241" s="652"/>
      <c r="G241" s="652"/>
      <c r="H241" s="652"/>
      <c r="I241" s="652"/>
      <c r="J241" s="652"/>
      <c r="K241" s="652"/>
      <c r="L241" s="657"/>
      <c r="M241" s="657"/>
      <c r="N241" s="657"/>
      <c r="O241" s="652"/>
      <c r="P241" s="652"/>
      <c r="Q241" s="652"/>
      <c r="R241" s="652"/>
      <c r="S241" s="652"/>
      <c r="T241" s="657"/>
      <c r="U241" s="657"/>
      <c r="V241" s="657"/>
      <c r="W241" s="652"/>
      <c r="X241" s="652"/>
      <c r="Y241" s="652"/>
      <c r="Z241" s="652"/>
      <c r="AA241" s="652"/>
      <c r="AB241" s="652"/>
      <c r="AC241" s="652"/>
      <c r="AD241" s="652"/>
      <c r="AE241" s="709" t="str">
        <f>IFERROR(INDEX(Reit!I$8:I$64,MATCH(AF241,Reit!F$8:F$64,0)),"")</f>
        <v/>
      </c>
      <c r="AF241" s="710" t="str">
        <f t="shared" si="22"/>
        <v/>
      </c>
      <c r="AG241" s="709" t="str">
        <f>IFERROR(INDEX(Reit!I$8:I$64,MATCH(AH241,Reit!F$8:F$64,0)),"")</f>
        <v/>
      </c>
      <c r="AH241" s="710" t="str">
        <f t="shared" si="23"/>
        <v/>
      </c>
      <c r="AI241" s="709" t="str">
        <f>IFERROR(INDEX(Reit!I$8:I$64,MATCH(AJ241,Reit!F$8:F$64,0)),"")</f>
        <v/>
      </c>
      <c r="AJ241" s="710" t="str">
        <f t="shared" si="24"/>
        <v/>
      </c>
      <c r="AK241" s="709" t="str">
        <f>IFERROR(INDEX(Reit!I$8:I$64,MATCH(AL241,Reit!F$8:F$64,0)),"")</f>
        <v/>
      </c>
      <c r="AL241" s="710" t="str">
        <f t="shared" si="25"/>
        <v/>
      </c>
      <c r="AM241" s="652"/>
    </row>
    <row r="242" spans="1:39" hidden="1" x14ac:dyDescent="0.2">
      <c r="A242" s="652"/>
      <c r="B242" s="652"/>
      <c r="C242" s="652"/>
      <c r="D242" s="652"/>
      <c r="E242" s="652"/>
      <c r="F242" s="652"/>
      <c r="G242" s="652"/>
      <c r="H242" s="652"/>
      <c r="I242" s="652"/>
      <c r="J242" s="652"/>
      <c r="K242" s="652"/>
      <c r="L242" s="657"/>
      <c r="M242" s="657"/>
      <c r="N242" s="657"/>
      <c r="O242" s="652"/>
      <c r="P242" s="652"/>
      <c r="Q242" s="652"/>
      <c r="R242" s="652"/>
      <c r="S242" s="652"/>
      <c r="T242" s="657"/>
      <c r="U242" s="657"/>
      <c r="V242" s="657"/>
      <c r="W242" s="652"/>
      <c r="X242" s="652"/>
      <c r="Y242" s="652"/>
      <c r="Z242" s="652"/>
      <c r="AA242" s="652"/>
      <c r="AB242" s="652"/>
      <c r="AC242" s="652"/>
      <c r="AD242" s="652"/>
      <c r="AE242" s="709" t="str">
        <f>IFERROR(INDEX(Reit!I$8:I$64,MATCH(AF242,Reit!F$8:F$64,0)),"")</f>
        <v/>
      </c>
      <c r="AF242" s="710" t="str">
        <f t="shared" si="22"/>
        <v/>
      </c>
      <c r="AG242" s="709" t="str">
        <f>IFERROR(INDEX(Reit!I$8:I$64,MATCH(AH242,Reit!F$8:F$64,0)),"")</f>
        <v/>
      </c>
      <c r="AH242" s="710" t="str">
        <f t="shared" si="23"/>
        <v/>
      </c>
      <c r="AI242" s="709" t="str">
        <f>IFERROR(INDEX(Reit!I$8:I$64,MATCH(AJ242,Reit!F$8:F$64,0)),"")</f>
        <v/>
      </c>
      <c r="AJ242" s="710" t="str">
        <f t="shared" si="24"/>
        <v/>
      </c>
      <c r="AK242" s="709" t="str">
        <f>IFERROR(INDEX(Reit!I$8:I$64,MATCH(AL242,Reit!F$8:F$64,0)),"")</f>
        <v/>
      </c>
      <c r="AL242" s="710" t="str">
        <f t="shared" si="25"/>
        <v/>
      </c>
      <c r="AM242" s="652"/>
    </row>
    <row r="243" spans="1:39" hidden="1" x14ac:dyDescent="0.2">
      <c r="A243" s="652"/>
      <c r="B243" s="652"/>
      <c r="C243" s="652"/>
      <c r="D243" s="652"/>
      <c r="E243" s="652"/>
      <c r="F243" s="652"/>
      <c r="G243" s="652"/>
      <c r="H243" s="652"/>
      <c r="I243" s="652"/>
      <c r="J243" s="652"/>
      <c r="K243" s="652"/>
      <c r="L243" s="657"/>
      <c r="M243" s="657"/>
      <c r="N243" s="657"/>
      <c r="O243" s="652"/>
      <c r="P243" s="652"/>
      <c r="Q243" s="652"/>
      <c r="R243" s="652"/>
      <c r="S243" s="652"/>
      <c r="T243" s="657"/>
      <c r="U243" s="657"/>
      <c r="V243" s="657"/>
      <c r="W243" s="652"/>
      <c r="X243" s="652"/>
      <c r="Y243" s="652"/>
      <c r="Z243" s="652"/>
      <c r="AA243" s="652"/>
      <c r="AB243" s="652"/>
      <c r="AC243" s="652"/>
      <c r="AD243" s="652"/>
      <c r="AE243" s="709" t="str">
        <f>IFERROR(INDEX(Reit!I$8:I$64,MATCH(AF243,Reit!F$8:F$64,0)),"")</f>
        <v/>
      </c>
      <c r="AF243" s="710" t="str">
        <f t="shared" si="22"/>
        <v/>
      </c>
      <c r="AG243" s="709" t="str">
        <f>IFERROR(INDEX(Reit!I$8:I$64,MATCH(AH243,Reit!F$8:F$64,0)),"")</f>
        <v/>
      </c>
      <c r="AH243" s="710" t="str">
        <f t="shared" si="23"/>
        <v/>
      </c>
      <c r="AI243" s="709" t="str">
        <f>IFERROR(INDEX(Reit!I$8:I$64,MATCH(AJ243,Reit!F$8:F$64,0)),"")</f>
        <v/>
      </c>
      <c r="AJ243" s="710" t="str">
        <f t="shared" si="24"/>
        <v/>
      </c>
      <c r="AK243" s="709" t="str">
        <f>IFERROR(INDEX(Reit!I$8:I$64,MATCH(AL243,Reit!F$8:F$64,0)),"")</f>
        <v/>
      </c>
      <c r="AL243" s="710" t="str">
        <f t="shared" si="25"/>
        <v/>
      </c>
      <c r="AM243" s="652"/>
    </row>
    <row r="244" spans="1:39" hidden="1" x14ac:dyDescent="0.2">
      <c r="A244" s="652"/>
      <c r="B244" s="652"/>
      <c r="C244" s="652"/>
      <c r="D244" s="652"/>
      <c r="E244" s="652"/>
      <c r="F244" s="652"/>
      <c r="G244" s="652"/>
      <c r="H244" s="652"/>
      <c r="I244" s="652"/>
      <c r="J244" s="652"/>
      <c r="K244" s="652"/>
      <c r="L244" s="657"/>
      <c r="M244" s="657"/>
      <c r="N244" s="657"/>
      <c r="O244" s="652"/>
      <c r="P244" s="652"/>
      <c r="Q244" s="652"/>
      <c r="R244" s="652"/>
      <c r="S244" s="652"/>
      <c r="T244" s="657"/>
      <c r="U244" s="657"/>
      <c r="V244" s="657"/>
      <c r="W244" s="652"/>
      <c r="X244" s="652"/>
      <c r="Y244" s="652"/>
      <c r="Z244" s="652"/>
      <c r="AA244" s="652"/>
      <c r="AB244" s="652"/>
      <c r="AC244" s="652"/>
      <c r="AD244" s="652"/>
      <c r="AE244" s="709" t="str">
        <f>IFERROR(INDEX(Reit!I$8:I$64,MATCH(AF244,Reit!F$8:F$64,0)),"")</f>
        <v/>
      </c>
      <c r="AF244" s="710" t="str">
        <f t="shared" si="22"/>
        <v/>
      </c>
      <c r="AG244" s="709" t="str">
        <f>IFERROR(INDEX(Reit!I$8:I$64,MATCH(AH244,Reit!F$8:F$64,0)),"")</f>
        <v/>
      </c>
      <c r="AH244" s="710" t="str">
        <f t="shared" si="23"/>
        <v/>
      </c>
      <c r="AI244" s="709" t="str">
        <f>IFERROR(INDEX(Reit!I$8:I$64,MATCH(AJ244,Reit!F$8:F$64,0)),"")</f>
        <v/>
      </c>
      <c r="AJ244" s="710" t="str">
        <f t="shared" si="24"/>
        <v/>
      </c>
      <c r="AK244" s="709" t="str">
        <f>IFERROR(INDEX(Reit!I$8:I$64,MATCH(AL244,Reit!F$8:F$64,0)),"")</f>
        <v/>
      </c>
      <c r="AL244" s="710" t="str">
        <f t="shared" si="25"/>
        <v/>
      </c>
      <c r="AM244" s="652"/>
    </row>
    <row r="245" spans="1:39" hidden="1" x14ac:dyDescent="0.2">
      <c r="A245" s="652"/>
      <c r="B245" s="652"/>
      <c r="C245" s="652"/>
      <c r="D245" s="652"/>
      <c r="E245" s="652"/>
      <c r="F245" s="652"/>
      <c r="G245" s="652"/>
      <c r="H245" s="652"/>
      <c r="I245" s="652"/>
      <c r="J245" s="652"/>
      <c r="K245" s="652"/>
      <c r="L245" s="657"/>
      <c r="M245" s="657"/>
      <c r="N245" s="657"/>
      <c r="O245" s="652"/>
      <c r="P245" s="652"/>
      <c r="Q245" s="652"/>
      <c r="R245" s="652"/>
      <c r="S245" s="652"/>
      <c r="T245" s="657"/>
      <c r="U245" s="657"/>
      <c r="V245" s="657"/>
      <c r="W245" s="652"/>
      <c r="X245" s="652"/>
      <c r="Y245" s="652"/>
      <c r="Z245" s="652"/>
      <c r="AA245" s="652"/>
      <c r="AB245" s="652"/>
      <c r="AC245" s="652"/>
      <c r="AD245" s="652"/>
      <c r="AE245" s="709" t="str">
        <f>IFERROR(INDEX(Reit!I$8:I$64,MATCH(AF245,Reit!F$8:F$64,0)),"")</f>
        <v/>
      </c>
      <c r="AF245" s="710" t="str">
        <f t="shared" si="22"/>
        <v/>
      </c>
      <c r="AG245" s="709" t="str">
        <f>IFERROR(INDEX(Reit!I$8:I$64,MATCH(AH245,Reit!F$8:F$64,0)),"")</f>
        <v/>
      </c>
      <c r="AH245" s="710" t="str">
        <f t="shared" si="23"/>
        <v/>
      </c>
      <c r="AI245" s="709" t="str">
        <f>IFERROR(INDEX(Reit!I$8:I$64,MATCH(AJ245,Reit!F$8:F$64,0)),"")</f>
        <v/>
      </c>
      <c r="AJ245" s="710" t="str">
        <f t="shared" si="24"/>
        <v/>
      </c>
      <c r="AK245" s="709" t="str">
        <f>IFERROR(INDEX(Reit!I$8:I$64,MATCH(AL245,Reit!F$8:F$64,0)),"")</f>
        <v/>
      </c>
      <c r="AL245" s="710" t="str">
        <f t="shared" si="25"/>
        <v/>
      </c>
      <c r="AM245" s="652"/>
    </row>
    <row r="246" spans="1:39" hidden="1" x14ac:dyDescent="0.2">
      <c r="A246" s="652"/>
      <c r="B246" s="652"/>
      <c r="C246" s="652"/>
      <c r="D246" s="652"/>
      <c r="E246" s="652"/>
      <c r="F246" s="652"/>
      <c r="G246" s="652"/>
      <c r="H246" s="652"/>
      <c r="I246" s="652"/>
      <c r="J246" s="652"/>
      <c r="K246" s="652"/>
      <c r="L246" s="657"/>
      <c r="M246" s="657"/>
      <c r="N246" s="657"/>
      <c r="O246" s="652"/>
      <c r="P246" s="652"/>
      <c r="Q246" s="652"/>
      <c r="R246" s="652"/>
      <c r="S246" s="652"/>
      <c r="T246" s="657"/>
      <c r="U246" s="657"/>
      <c r="V246" s="657"/>
      <c r="W246" s="652"/>
      <c r="X246" s="652"/>
      <c r="Y246" s="652"/>
      <c r="Z246" s="652"/>
      <c r="AA246" s="652"/>
      <c r="AB246" s="652"/>
      <c r="AC246" s="652"/>
      <c r="AD246" s="652"/>
      <c r="AE246" s="709" t="str">
        <f>IFERROR(INDEX(Reit!I$8:I$64,MATCH(AF246,Reit!F$8:F$64,0)),"")</f>
        <v/>
      </c>
      <c r="AF246" s="710" t="str">
        <f t="shared" si="22"/>
        <v/>
      </c>
      <c r="AG246" s="709" t="str">
        <f>IFERROR(INDEX(Reit!I$8:I$64,MATCH(AH246,Reit!F$8:F$64,0)),"")</f>
        <v/>
      </c>
      <c r="AH246" s="710" t="str">
        <f t="shared" si="23"/>
        <v/>
      </c>
      <c r="AI246" s="709" t="str">
        <f>IFERROR(INDEX(Reit!I$8:I$64,MATCH(AJ246,Reit!F$8:F$64,0)),"")</f>
        <v/>
      </c>
      <c r="AJ246" s="710" t="str">
        <f t="shared" si="24"/>
        <v/>
      </c>
      <c r="AK246" s="709" t="str">
        <f>IFERROR(INDEX(Reit!I$8:I$64,MATCH(AL246,Reit!F$8:F$64,0)),"")</f>
        <v/>
      </c>
      <c r="AL246" s="710" t="str">
        <f t="shared" si="25"/>
        <v/>
      </c>
      <c r="AM246" s="652"/>
    </row>
    <row r="247" spans="1:39" hidden="1" x14ac:dyDescent="0.2">
      <c r="A247" s="652"/>
      <c r="B247" s="652"/>
      <c r="C247" s="652"/>
      <c r="D247" s="652"/>
      <c r="E247" s="652"/>
      <c r="F247" s="652"/>
      <c r="G247" s="652"/>
      <c r="H247" s="652"/>
      <c r="I247" s="652"/>
      <c r="J247" s="652"/>
      <c r="K247" s="652"/>
      <c r="L247" s="657"/>
      <c r="M247" s="657"/>
      <c r="N247" s="657"/>
      <c r="O247" s="652"/>
      <c r="P247" s="652"/>
      <c r="Q247" s="652"/>
      <c r="R247" s="652"/>
      <c r="S247" s="652"/>
      <c r="T247" s="657"/>
      <c r="U247" s="657"/>
      <c r="V247" s="657"/>
      <c r="W247" s="652"/>
      <c r="X247" s="652"/>
      <c r="Y247" s="652"/>
      <c r="Z247" s="652"/>
      <c r="AA247" s="652"/>
      <c r="AB247" s="652"/>
      <c r="AC247" s="652"/>
      <c r="AD247" s="652"/>
      <c r="AE247" s="709" t="str">
        <f>IFERROR(INDEX(Reit!I$8:I$64,MATCH(AF247,Reit!F$8:F$64,0)),"")</f>
        <v/>
      </c>
      <c r="AF247" s="710" t="str">
        <f t="shared" si="22"/>
        <v/>
      </c>
      <c r="AG247" s="709" t="str">
        <f>IFERROR(INDEX(Reit!I$8:I$64,MATCH(AH247,Reit!F$8:F$64,0)),"")</f>
        <v/>
      </c>
      <c r="AH247" s="710" t="str">
        <f t="shared" si="23"/>
        <v/>
      </c>
      <c r="AI247" s="709" t="str">
        <f>IFERROR(INDEX(Reit!I$8:I$64,MATCH(AJ247,Reit!F$8:F$64,0)),"")</f>
        <v/>
      </c>
      <c r="AJ247" s="710" t="str">
        <f t="shared" si="24"/>
        <v/>
      </c>
      <c r="AK247" s="709" t="str">
        <f>IFERROR(INDEX(Reit!I$8:I$64,MATCH(AL247,Reit!F$8:F$64,0)),"")</f>
        <v/>
      </c>
      <c r="AL247" s="710" t="str">
        <f t="shared" si="25"/>
        <v/>
      </c>
      <c r="AM247" s="652"/>
    </row>
    <row r="248" spans="1:39" hidden="1" x14ac:dyDescent="0.2">
      <c r="A248" s="652"/>
      <c r="B248" s="652"/>
      <c r="C248" s="652"/>
      <c r="D248" s="652"/>
      <c r="E248" s="652"/>
      <c r="F248" s="652"/>
      <c r="G248" s="652"/>
      <c r="H248" s="652"/>
      <c r="I248" s="652"/>
      <c r="J248" s="652"/>
      <c r="K248" s="652"/>
      <c r="L248" s="657"/>
      <c r="M248" s="657"/>
      <c r="N248" s="657"/>
      <c r="O248" s="652"/>
      <c r="P248" s="652"/>
      <c r="Q248" s="652"/>
      <c r="R248" s="652"/>
      <c r="S248" s="652"/>
      <c r="T248" s="657"/>
      <c r="U248" s="657"/>
      <c r="V248" s="657"/>
      <c r="W248" s="652"/>
      <c r="X248" s="652"/>
      <c r="Y248" s="652"/>
      <c r="Z248" s="652"/>
      <c r="AA248" s="652"/>
      <c r="AB248" s="652"/>
      <c r="AC248" s="652"/>
      <c r="AD248" s="652"/>
      <c r="AE248" s="709" t="str">
        <f>IFERROR(INDEX(Reit!I$8:I$64,MATCH(AF248,Reit!F$8:F$64,0)),"")</f>
        <v/>
      </c>
      <c r="AF248" s="710" t="str">
        <f t="shared" si="22"/>
        <v/>
      </c>
      <c r="AG248" s="709" t="str">
        <f>IFERROR(INDEX(Reit!I$8:I$64,MATCH(AH248,Reit!F$8:F$64,0)),"")</f>
        <v/>
      </c>
      <c r="AH248" s="710" t="str">
        <f t="shared" si="23"/>
        <v/>
      </c>
      <c r="AI248" s="709" t="str">
        <f>IFERROR(INDEX(Reit!I$8:I$64,MATCH(AJ248,Reit!F$8:F$64,0)),"")</f>
        <v/>
      </c>
      <c r="AJ248" s="710" t="str">
        <f t="shared" si="24"/>
        <v/>
      </c>
      <c r="AK248" s="709" t="str">
        <f>IFERROR(INDEX(Reit!I$8:I$64,MATCH(AL248,Reit!F$8:F$64,0)),"")</f>
        <v/>
      </c>
      <c r="AL248" s="710" t="str">
        <f t="shared" si="25"/>
        <v/>
      </c>
      <c r="AM248" s="652"/>
    </row>
    <row r="249" spans="1:39" hidden="1" x14ac:dyDescent="0.2">
      <c r="A249" s="652"/>
      <c r="B249" s="652"/>
      <c r="C249" s="652"/>
      <c r="D249" s="652"/>
      <c r="E249" s="652"/>
      <c r="F249" s="652"/>
      <c r="G249" s="652"/>
      <c r="H249" s="652"/>
      <c r="I249" s="652"/>
      <c r="J249" s="652"/>
      <c r="K249" s="652"/>
      <c r="L249" s="657"/>
      <c r="M249" s="657"/>
      <c r="N249" s="657"/>
      <c r="O249" s="652"/>
      <c r="P249" s="652"/>
      <c r="Q249" s="652"/>
      <c r="R249" s="652"/>
      <c r="S249" s="652"/>
      <c r="T249" s="657"/>
      <c r="U249" s="657"/>
      <c r="V249" s="657"/>
      <c r="W249" s="652"/>
      <c r="X249" s="652"/>
      <c r="Y249" s="652"/>
      <c r="Z249" s="652"/>
      <c r="AA249" s="652"/>
      <c r="AB249" s="652"/>
      <c r="AC249" s="652"/>
      <c r="AD249" s="652"/>
      <c r="AE249" s="709" t="str">
        <f>IFERROR(INDEX(Reit!I$8:I$64,MATCH(AF249,Reit!F$8:F$64,0)),"")</f>
        <v/>
      </c>
      <c r="AF249" s="710" t="str">
        <f t="shared" si="22"/>
        <v/>
      </c>
      <c r="AG249" s="709" t="str">
        <f>IFERROR(INDEX(Reit!I$8:I$64,MATCH(AH249,Reit!F$8:F$64,0)),"")</f>
        <v/>
      </c>
      <c r="AH249" s="710" t="str">
        <f t="shared" si="23"/>
        <v/>
      </c>
      <c r="AI249" s="709" t="str">
        <f>IFERROR(INDEX(Reit!I$8:I$64,MATCH(AJ249,Reit!F$8:F$64,0)),"")</f>
        <v/>
      </c>
      <c r="AJ249" s="710" t="str">
        <f t="shared" si="24"/>
        <v/>
      </c>
      <c r="AK249" s="709" t="str">
        <f>IFERROR(INDEX(Reit!I$8:I$64,MATCH(AL249,Reit!F$8:F$64,0)),"")</f>
        <v/>
      </c>
      <c r="AL249" s="710" t="str">
        <f t="shared" si="25"/>
        <v/>
      </c>
      <c r="AM249" s="652"/>
    </row>
    <row r="250" spans="1:39" hidden="1" x14ac:dyDescent="0.2">
      <c r="A250" s="652"/>
      <c r="B250" s="652"/>
      <c r="C250" s="652"/>
      <c r="D250" s="652"/>
      <c r="E250" s="652"/>
      <c r="F250" s="652"/>
      <c r="G250" s="652"/>
      <c r="H250" s="652"/>
      <c r="I250" s="652"/>
      <c r="J250" s="652"/>
      <c r="K250" s="652"/>
      <c r="L250" s="657"/>
      <c r="M250" s="657"/>
      <c r="N250" s="657"/>
      <c r="O250" s="652"/>
      <c r="P250" s="652"/>
      <c r="Q250" s="652"/>
      <c r="R250" s="652"/>
      <c r="S250" s="652"/>
      <c r="T250" s="657"/>
      <c r="U250" s="657"/>
      <c r="V250" s="657"/>
      <c r="W250" s="652"/>
      <c r="X250" s="652"/>
      <c r="Y250" s="652"/>
      <c r="Z250" s="652"/>
      <c r="AA250" s="652"/>
      <c r="AB250" s="652"/>
      <c r="AC250" s="652"/>
      <c r="AD250" s="652"/>
      <c r="AE250" s="709" t="str">
        <f>IFERROR(INDEX(Reit!I$8:I$64,MATCH(AF250,Reit!F$8:F$64,0)),"")</f>
        <v/>
      </c>
      <c r="AF250" s="710" t="str">
        <f t="shared" si="22"/>
        <v/>
      </c>
      <c r="AG250" s="709" t="str">
        <f>IFERROR(INDEX(Reit!I$8:I$64,MATCH(AH250,Reit!F$8:F$64,0)),"")</f>
        <v/>
      </c>
      <c r="AH250" s="710" t="str">
        <f t="shared" si="23"/>
        <v/>
      </c>
      <c r="AI250" s="709" t="str">
        <f>IFERROR(INDEX(Reit!I$8:I$64,MATCH(AJ250,Reit!F$8:F$64,0)),"")</f>
        <v/>
      </c>
      <c r="AJ250" s="710" t="str">
        <f t="shared" si="24"/>
        <v/>
      </c>
      <c r="AK250" s="709" t="str">
        <f>IFERROR(INDEX(Reit!I$8:I$64,MATCH(AL250,Reit!F$8:F$64,0)),"")</f>
        <v/>
      </c>
      <c r="AL250" s="710" t="str">
        <f t="shared" si="25"/>
        <v/>
      </c>
      <c r="AM250" s="652"/>
    </row>
    <row r="251" spans="1:39" hidden="1" x14ac:dyDescent="0.2">
      <c r="A251" s="652"/>
      <c r="B251" s="652"/>
      <c r="C251" s="652"/>
      <c r="D251" s="652"/>
      <c r="E251" s="652"/>
      <c r="F251" s="652"/>
      <c r="G251" s="652"/>
      <c r="H251" s="652"/>
      <c r="I251" s="652"/>
      <c r="J251" s="652"/>
      <c r="K251" s="652"/>
      <c r="L251" s="657"/>
      <c r="M251" s="657"/>
      <c r="N251" s="657"/>
      <c r="O251" s="652"/>
      <c r="P251" s="652"/>
      <c r="Q251" s="652"/>
      <c r="R251" s="652"/>
      <c r="S251" s="652"/>
      <c r="T251" s="657"/>
      <c r="U251" s="657"/>
      <c r="V251" s="657"/>
      <c r="W251" s="652"/>
      <c r="X251" s="652"/>
      <c r="Y251" s="652"/>
      <c r="Z251" s="652"/>
      <c r="AA251" s="652"/>
      <c r="AB251" s="652"/>
      <c r="AC251" s="652"/>
      <c r="AD251" s="652"/>
      <c r="AE251" s="709" t="str">
        <f>IFERROR(INDEX(Reit!I$8:I$64,MATCH(AF251,Reit!F$8:F$64,0)),"")</f>
        <v/>
      </c>
      <c r="AF251" s="710" t="str">
        <f t="shared" si="22"/>
        <v/>
      </c>
      <c r="AG251" s="709" t="str">
        <f>IFERROR(INDEX(Reit!I$8:I$64,MATCH(AH251,Reit!F$8:F$64,0)),"")</f>
        <v/>
      </c>
      <c r="AH251" s="710" t="str">
        <f t="shared" si="23"/>
        <v/>
      </c>
      <c r="AI251" s="709" t="str">
        <f>IFERROR(INDEX(Reit!I$8:I$64,MATCH(AJ251,Reit!F$8:F$64,0)),"")</f>
        <v/>
      </c>
      <c r="AJ251" s="710" t="str">
        <f t="shared" si="24"/>
        <v/>
      </c>
      <c r="AK251" s="709" t="str">
        <f>IFERROR(INDEX(Reit!I$8:I$64,MATCH(AL251,Reit!F$8:F$64,0)),"")</f>
        <v/>
      </c>
      <c r="AL251" s="710" t="str">
        <f t="shared" si="25"/>
        <v/>
      </c>
      <c r="AM251" s="652"/>
    </row>
    <row r="252" spans="1:39" hidden="1" x14ac:dyDescent="0.2">
      <c r="A252" s="652"/>
      <c r="B252" s="652"/>
      <c r="C252" s="652"/>
      <c r="D252" s="652"/>
      <c r="E252" s="652"/>
      <c r="F252" s="652"/>
      <c r="G252" s="652"/>
      <c r="H252" s="652"/>
      <c r="I252" s="652"/>
      <c r="J252" s="652"/>
      <c r="K252" s="652"/>
      <c r="L252" s="657"/>
      <c r="M252" s="657"/>
      <c r="N252" s="657"/>
      <c r="O252" s="652"/>
      <c r="P252" s="652"/>
      <c r="Q252" s="652"/>
      <c r="R252" s="652"/>
      <c r="S252" s="652"/>
      <c r="T252" s="657"/>
      <c r="U252" s="657"/>
      <c r="V252" s="657"/>
      <c r="W252" s="652"/>
      <c r="X252" s="652"/>
      <c r="Y252" s="652"/>
      <c r="Z252" s="652"/>
      <c r="AA252" s="652"/>
      <c r="AB252" s="652"/>
      <c r="AC252" s="652"/>
      <c r="AD252" s="652"/>
      <c r="AE252" s="709" t="str">
        <f>IFERROR(INDEX(Reit!I$8:I$64,MATCH(AF252,Reit!F$8:F$64,0)),"")</f>
        <v/>
      </c>
      <c r="AF252" s="710" t="str">
        <f t="shared" si="22"/>
        <v/>
      </c>
      <c r="AG252" s="709" t="str">
        <f>IFERROR(INDEX(Reit!I$8:I$64,MATCH(AH252,Reit!F$8:F$64,0)),"")</f>
        <v/>
      </c>
      <c r="AH252" s="710" t="str">
        <f t="shared" si="23"/>
        <v/>
      </c>
      <c r="AI252" s="709" t="str">
        <f>IFERROR(INDEX(Reit!I$8:I$64,MATCH(AJ252,Reit!F$8:F$64,0)),"")</f>
        <v/>
      </c>
      <c r="AJ252" s="710" t="str">
        <f t="shared" si="24"/>
        <v/>
      </c>
      <c r="AK252" s="709" t="str">
        <f>IFERROR(INDEX(Reit!I$8:I$64,MATCH(AL252,Reit!F$8:F$64,0)),"")</f>
        <v/>
      </c>
      <c r="AL252" s="710" t="str">
        <f t="shared" si="25"/>
        <v/>
      </c>
      <c r="AM252" s="652"/>
    </row>
    <row r="253" spans="1:39" hidden="1" x14ac:dyDescent="0.2">
      <c r="A253" s="652"/>
      <c r="B253" s="652"/>
      <c r="C253" s="652"/>
      <c r="D253" s="652"/>
      <c r="E253" s="652"/>
      <c r="F253" s="652"/>
      <c r="G253" s="652"/>
      <c r="H253" s="652"/>
      <c r="I253" s="652"/>
      <c r="J253" s="652"/>
      <c r="K253" s="652"/>
      <c r="L253" s="657"/>
      <c r="M253" s="657"/>
      <c r="N253" s="657"/>
      <c r="O253" s="652"/>
      <c r="P253" s="652"/>
      <c r="Q253" s="652"/>
      <c r="R253" s="652"/>
      <c r="S253" s="652"/>
      <c r="T253" s="657"/>
      <c r="U253" s="657"/>
      <c r="V253" s="657"/>
      <c r="W253" s="652"/>
      <c r="X253" s="652"/>
      <c r="Y253" s="652"/>
      <c r="Z253" s="652"/>
      <c r="AA253" s="652"/>
      <c r="AB253" s="652"/>
      <c r="AC253" s="652"/>
      <c r="AD253" s="652"/>
      <c r="AE253" s="709" t="str">
        <f>IFERROR(INDEX(Reit!I$8:I$64,MATCH(AF253,Reit!F$8:F$64,0)),"")</f>
        <v/>
      </c>
      <c r="AF253" s="710" t="str">
        <f t="shared" si="22"/>
        <v/>
      </c>
      <c r="AG253" s="709" t="str">
        <f>IFERROR(INDEX(Reit!I$8:I$64,MATCH(AH253,Reit!F$8:F$64,0)),"")</f>
        <v/>
      </c>
      <c r="AH253" s="710" t="str">
        <f t="shared" si="23"/>
        <v/>
      </c>
      <c r="AI253" s="709" t="str">
        <f>IFERROR(INDEX(Reit!I$8:I$64,MATCH(AJ253,Reit!F$8:F$64,0)),"")</f>
        <v/>
      </c>
      <c r="AJ253" s="710" t="str">
        <f t="shared" si="24"/>
        <v/>
      </c>
      <c r="AK253" s="709" t="str">
        <f>IFERROR(INDEX(Reit!I$8:I$64,MATCH(AL253,Reit!F$8:F$64,0)),"")</f>
        <v/>
      </c>
      <c r="AL253" s="710" t="str">
        <f t="shared" si="25"/>
        <v/>
      </c>
      <c r="AM253" s="652"/>
    </row>
    <row r="254" spans="1:39" hidden="1" x14ac:dyDescent="0.2">
      <c r="A254" s="652"/>
      <c r="B254" s="652"/>
      <c r="C254" s="652"/>
      <c r="D254" s="652"/>
      <c r="E254" s="652"/>
      <c r="F254" s="652"/>
      <c r="G254" s="652"/>
      <c r="H254" s="652"/>
      <c r="I254" s="652"/>
      <c r="J254" s="652"/>
      <c r="K254" s="652"/>
      <c r="L254" s="657"/>
      <c r="M254" s="657"/>
      <c r="N254" s="657"/>
      <c r="O254" s="652"/>
      <c r="P254" s="652"/>
      <c r="Q254" s="652"/>
      <c r="R254" s="652"/>
      <c r="S254" s="652"/>
      <c r="T254" s="657"/>
      <c r="U254" s="657"/>
      <c r="V254" s="657"/>
      <c r="W254" s="652"/>
      <c r="X254" s="652"/>
      <c r="Y254" s="652"/>
      <c r="Z254" s="652"/>
      <c r="AA254" s="652"/>
      <c r="AB254" s="652"/>
      <c r="AC254" s="652"/>
      <c r="AD254" s="652"/>
      <c r="AE254" s="709" t="str">
        <f>IFERROR(INDEX(Reit!I$8:I$64,MATCH(AF254,Reit!F$8:F$64,0)),"")</f>
        <v/>
      </c>
      <c r="AF254" s="710" t="str">
        <f t="shared" si="22"/>
        <v/>
      </c>
      <c r="AG254" s="709" t="str">
        <f>IFERROR(INDEX(Reit!I$8:I$64,MATCH(AH254,Reit!F$8:F$64,0)),"")</f>
        <v/>
      </c>
      <c r="AH254" s="710" t="str">
        <f t="shared" si="23"/>
        <v/>
      </c>
      <c r="AI254" s="709" t="str">
        <f>IFERROR(INDEX(Reit!I$8:I$64,MATCH(AJ254,Reit!F$8:F$64,0)),"")</f>
        <v/>
      </c>
      <c r="AJ254" s="710" t="str">
        <f t="shared" si="24"/>
        <v/>
      </c>
      <c r="AK254" s="709" t="str">
        <f>IFERROR(INDEX(Reit!I$8:I$64,MATCH(AL254,Reit!F$8:F$64,0)),"")</f>
        <v/>
      </c>
      <c r="AL254" s="710" t="str">
        <f t="shared" si="25"/>
        <v/>
      </c>
      <c r="AM254" s="652"/>
    </row>
    <row r="255" spans="1:39" hidden="1" x14ac:dyDescent="0.2">
      <c r="A255" s="652"/>
      <c r="B255" s="652"/>
      <c r="C255" s="652"/>
      <c r="D255" s="652"/>
      <c r="E255" s="652"/>
      <c r="F255" s="652"/>
      <c r="G255" s="652"/>
      <c r="H255" s="652"/>
      <c r="I255" s="652"/>
      <c r="J255" s="652"/>
      <c r="K255" s="652"/>
      <c r="L255" s="657"/>
      <c r="M255" s="657"/>
      <c r="N255" s="657"/>
      <c r="O255" s="652"/>
      <c r="P255" s="652"/>
      <c r="Q255" s="652"/>
      <c r="R255" s="652"/>
      <c r="S255" s="652"/>
      <c r="T255" s="657"/>
      <c r="U255" s="657"/>
      <c r="V255" s="657"/>
      <c r="W255" s="652"/>
      <c r="X255" s="652"/>
      <c r="Y255" s="652"/>
      <c r="Z255" s="652"/>
      <c r="AA255" s="652"/>
      <c r="AB255" s="652"/>
      <c r="AC255" s="652"/>
      <c r="AD255" s="652"/>
      <c r="AE255" s="709" t="str">
        <f>IFERROR(INDEX(Reit!I$8:I$64,MATCH(AF255,Reit!F$8:F$64,0)),"")</f>
        <v/>
      </c>
      <c r="AF255" s="710" t="str">
        <f t="shared" si="22"/>
        <v/>
      </c>
      <c r="AG255" s="709" t="str">
        <f>IFERROR(INDEX(Reit!I$8:I$64,MATCH(AH255,Reit!F$8:F$64,0)),"")</f>
        <v/>
      </c>
      <c r="AH255" s="710" t="str">
        <f t="shared" si="23"/>
        <v/>
      </c>
      <c r="AI255" s="709" t="str">
        <f>IFERROR(INDEX(Reit!I$8:I$64,MATCH(AJ255,Reit!F$8:F$64,0)),"")</f>
        <v/>
      </c>
      <c r="AJ255" s="710" t="str">
        <f t="shared" si="24"/>
        <v/>
      </c>
      <c r="AK255" s="709" t="str">
        <f>IFERROR(INDEX(Reit!I$8:I$64,MATCH(AL255,Reit!F$8:F$64,0)),"")</f>
        <v/>
      </c>
      <c r="AL255" s="710" t="str">
        <f t="shared" si="25"/>
        <v/>
      </c>
      <c r="AM255" s="652"/>
    </row>
    <row r="256" spans="1:39" hidden="1" x14ac:dyDescent="0.2">
      <c r="A256" s="652"/>
      <c r="B256" s="652"/>
      <c r="C256" s="652"/>
      <c r="D256" s="652"/>
      <c r="E256" s="652"/>
      <c r="F256" s="652"/>
      <c r="G256" s="652"/>
      <c r="H256" s="652"/>
      <c r="I256" s="652"/>
      <c r="J256" s="652"/>
      <c r="K256" s="652"/>
      <c r="L256" s="657"/>
      <c r="M256" s="657"/>
      <c r="N256" s="657"/>
      <c r="O256" s="652"/>
      <c r="P256" s="652"/>
      <c r="Q256" s="652"/>
      <c r="R256" s="652"/>
      <c r="S256" s="652"/>
      <c r="T256" s="657"/>
      <c r="U256" s="657"/>
      <c r="V256" s="657"/>
      <c r="W256" s="652"/>
      <c r="X256" s="652"/>
      <c r="Y256" s="652"/>
      <c r="Z256" s="652"/>
      <c r="AA256" s="652"/>
      <c r="AB256" s="652"/>
      <c r="AC256" s="652"/>
      <c r="AD256" s="652"/>
      <c r="AE256" s="709" t="str">
        <f>IFERROR(INDEX(Reit!I$8:I$64,MATCH(AF256,Reit!F$8:F$64,0)),"")</f>
        <v/>
      </c>
      <c r="AF256" s="710" t="str">
        <f t="shared" si="22"/>
        <v/>
      </c>
      <c r="AG256" s="709" t="str">
        <f>IFERROR(INDEX(Reit!I$8:I$64,MATCH(AH256,Reit!F$8:F$64,0)),"")</f>
        <v/>
      </c>
      <c r="AH256" s="710" t="str">
        <f t="shared" si="23"/>
        <v/>
      </c>
      <c r="AI256" s="709" t="str">
        <f>IFERROR(INDEX(Reit!I$8:I$64,MATCH(AJ256,Reit!F$8:F$64,0)),"")</f>
        <v/>
      </c>
      <c r="AJ256" s="710" t="str">
        <f t="shared" si="24"/>
        <v/>
      </c>
      <c r="AK256" s="709" t="str">
        <f>IFERROR(INDEX(Reit!I$8:I$64,MATCH(AL256,Reit!F$8:F$64,0)),"")</f>
        <v/>
      </c>
      <c r="AL256" s="710" t="str">
        <f t="shared" si="25"/>
        <v/>
      </c>
      <c r="AM256" s="652"/>
    </row>
    <row r="257" spans="1:39" hidden="1" x14ac:dyDescent="0.2">
      <c r="A257" s="652"/>
      <c r="B257" s="652"/>
      <c r="C257" s="652"/>
      <c r="D257" s="652"/>
      <c r="E257" s="652"/>
      <c r="F257" s="652"/>
      <c r="G257" s="652"/>
      <c r="H257" s="652"/>
      <c r="I257" s="652"/>
      <c r="J257" s="652"/>
      <c r="K257" s="652"/>
      <c r="L257" s="657"/>
      <c r="M257" s="657"/>
      <c r="N257" s="657"/>
      <c r="O257" s="652"/>
      <c r="P257" s="652"/>
      <c r="Q257" s="652"/>
      <c r="R257" s="652"/>
      <c r="S257" s="652"/>
      <c r="T257" s="657"/>
      <c r="U257" s="657"/>
      <c r="V257" s="657"/>
      <c r="W257" s="652"/>
      <c r="X257" s="652"/>
      <c r="Y257" s="652"/>
      <c r="Z257" s="652"/>
      <c r="AA257" s="652"/>
      <c r="AB257" s="652"/>
      <c r="AC257" s="652"/>
      <c r="AD257" s="652"/>
      <c r="AE257" s="709" t="str">
        <f>IFERROR(INDEX(Reit!I$8:I$64,MATCH(AF257,Reit!F$8:F$64,0)),"")</f>
        <v/>
      </c>
      <c r="AF257" s="710" t="str">
        <f t="shared" si="22"/>
        <v/>
      </c>
      <c r="AG257" s="709" t="str">
        <f>IFERROR(INDEX(Reit!I$8:I$64,MATCH(AH257,Reit!F$8:F$64,0)),"")</f>
        <v/>
      </c>
      <c r="AH257" s="710" t="str">
        <f t="shared" si="23"/>
        <v/>
      </c>
      <c r="AI257" s="709" t="str">
        <f>IFERROR(INDEX(Reit!I$8:I$64,MATCH(AJ257,Reit!F$8:F$64,0)),"")</f>
        <v/>
      </c>
      <c r="AJ257" s="710" t="str">
        <f t="shared" si="24"/>
        <v/>
      </c>
      <c r="AK257" s="709" t="str">
        <f>IFERROR(INDEX(Reit!I$8:I$64,MATCH(AL257,Reit!F$8:F$64,0)),"")</f>
        <v/>
      </c>
      <c r="AL257" s="710" t="str">
        <f t="shared" si="25"/>
        <v/>
      </c>
      <c r="AM257" s="652"/>
    </row>
    <row r="258" spans="1:39" hidden="1" x14ac:dyDescent="0.2">
      <c r="A258" s="652"/>
      <c r="B258" s="652"/>
      <c r="C258" s="652"/>
      <c r="D258" s="652"/>
      <c r="E258" s="652"/>
      <c r="F258" s="652"/>
      <c r="G258" s="652"/>
      <c r="H258" s="652"/>
      <c r="I258" s="652"/>
      <c r="J258" s="652"/>
      <c r="K258" s="652"/>
      <c r="L258" s="657"/>
      <c r="M258" s="657"/>
      <c r="N258" s="657"/>
      <c r="O258" s="652"/>
      <c r="P258" s="652"/>
      <c r="Q258" s="652"/>
      <c r="R258" s="652"/>
      <c r="S258" s="652"/>
      <c r="T258" s="657"/>
      <c r="U258" s="657"/>
      <c r="V258" s="657"/>
      <c r="W258" s="652"/>
      <c r="X258" s="652"/>
      <c r="Y258" s="652"/>
      <c r="Z258" s="652"/>
      <c r="AA258" s="652"/>
      <c r="AB258" s="652"/>
      <c r="AC258" s="652"/>
      <c r="AD258" s="652"/>
      <c r="AE258" s="709" t="str">
        <f>IFERROR(INDEX(Reit!I$8:I$64,MATCH(AF258,Reit!F$8:F$64,0)),"")</f>
        <v/>
      </c>
      <c r="AF258" s="710" t="str">
        <f t="shared" si="22"/>
        <v/>
      </c>
      <c r="AG258" s="709" t="str">
        <f>IFERROR(INDEX(Reit!I$8:I$64,MATCH(AH258,Reit!F$8:F$64,0)),"")</f>
        <v/>
      </c>
      <c r="AH258" s="710" t="str">
        <f t="shared" si="23"/>
        <v/>
      </c>
      <c r="AI258" s="709" t="str">
        <f>IFERROR(INDEX(Reit!I$8:I$64,MATCH(AJ258,Reit!F$8:F$64,0)),"")</f>
        <v/>
      </c>
      <c r="AJ258" s="710" t="str">
        <f t="shared" si="24"/>
        <v/>
      </c>
      <c r="AK258" s="709" t="str">
        <f>IFERROR(INDEX(Reit!I$8:I$64,MATCH(AL258,Reit!F$8:F$64,0)),"")</f>
        <v/>
      </c>
      <c r="AL258" s="710" t="str">
        <f t="shared" si="25"/>
        <v/>
      </c>
      <c r="AM258" s="652"/>
    </row>
    <row r="259" spans="1:39" hidden="1" x14ac:dyDescent="0.2">
      <c r="A259" s="652"/>
      <c r="B259" s="652"/>
      <c r="C259" s="652"/>
      <c r="D259" s="652"/>
      <c r="E259" s="652"/>
      <c r="F259" s="652"/>
      <c r="G259" s="652"/>
      <c r="H259" s="652"/>
      <c r="I259" s="652"/>
      <c r="J259" s="652"/>
      <c r="K259" s="652"/>
      <c r="L259" s="657"/>
      <c r="M259" s="657"/>
      <c r="N259" s="657"/>
      <c r="O259" s="652"/>
      <c r="P259" s="652"/>
      <c r="Q259" s="652"/>
      <c r="R259" s="652"/>
      <c r="S259" s="652"/>
      <c r="T259" s="657"/>
      <c r="U259" s="657"/>
      <c r="V259" s="657"/>
      <c r="W259" s="652"/>
      <c r="X259" s="652"/>
      <c r="Y259" s="652"/>
      <c r="Z259" s="652"/>
      <c r="AA259" s="652"/>
      <c r="AB259" s="652"/>
      <c r="AC259" s="652"/>
      <c r="AD259" s="652"/>
      <c r="AE259" s="709" t="str">
        <f>IFERROR(INDEX(Reit!I$8:I$64,MATCH(AF259,Reit!F$8:F$64,0)),"")</f>
        <v/>
      </c>
      <c r="AF259" s="710" t="str">
        <f t="shared" si="22"/>
        <v/>
      </c>
      <c r="AG259" s="709" t="str">
        <f>IFERROR(INDEX(Reit!I$8:I$64,MATCH(AH259,Reit!F$8:F$64,0)),"")</f>
        <v/>
      </c>
      <c r="AH259" s="710" t="str">
        <f t="shared" si="23"/>
        <v/>
      </c>
      <c r="AI259" s="709" t="str">
        <f>IFERROR(INDEX(Reit!I$8:I$64,MATCH(AJ259,Reit!F$8:F$64,0)),"")</f>
        <v/>
      </c>
      <c r="AJ259" s="710" t="str">
        <f t="shared" si="24"/>
        <v/>
      </c>
      <c r="AK259" s="709" t="str">
        <f>IFERROR(INDEX(Reit!I$8:I$64,MATCH(AL259,Reit!F$8:F$64,0)),"")</f>
        <v/>
      </c>
      <c r="AL259" s="710" t="str">
        <f t="shared" si="25"/>
        <v/>
      </c>
      <c r="AM259" s="652"/>
    </row>
    <row r="260" spans="1:39" hidden="1" x14ac:dyDescent="0.2">
      <c r="A260" s="652"/>
      <c r="B260" s="652"/>
      <c r="C260" s="652"/>
      <c r="D260" s="652"/>
      <c r="E260" s="652"/>
      <c r="F260" s="652"/>
      <c r="G260" s="652"/>
      <c r="H260" s="652"/>
      <c r="I260" s="652"/>
      <c r="J260" s="652"/>
      <c r="K260" s="652"/>
      <c r="L260" s="657"/>
      <c r="M260" s="657"/>
      <c r="N260" s="657"/>
      <c r="O260" s="652"/>
      <c r="P260" s="652"/>
      <c r="Q260" s="652"/>
      <c r="R260" s="652"/>
      <c r="S260" s="652"/>
      <c r="T260" s="657"/>
      <c r="U260" s="657"/>
      <c r="V260" s="657"/>
      <c r="W260" s="652"/>
      <c r="X260" s="652"/>
      <c r="Y260" s="652"/>
      <c r="Z260" s="652"/>
      <c r="AA260" s="652"/>
      <c r="AB260" s="652"/>
      <c r="AC260" s="652"/>
      <c r="AD260" s="652"/>
      <c r="AE260" s="709" t="str">
        <f>IFERROR(INDEX(Reit!I$8:I$64,MATCH(AF260,Reit!F$8:F$64,0)),"")</f>
        <v/>
      </c>
      <c r="AF260" s="710" t="str">
        <f t="shared" si="22"/>
        <v/>
      </c>
      <c r="AG260" s="709" t="str">
        <f>IFERROR(INDEX(Reit!I$8:I$64,MATCH(AH260,Reit!F$8:F$64,0)),"")</f>
        <v/>
      </c>
      <c r="AH260" s="710" t="str">
        <f t="shared" si="23"/>
        <v/>
      </c>
      <c r="AI260" s="709" t="str">
        <f>IFERROR(INDEX(Reit!I$8:I$64,MATCH(AJ260,Reit!F$8:F$64,0)),"")</f>
        <v/>
      </c>
      <c r="AJ260" s="710" t="str">
        <f t="shared" si="24"/>
        <v/>
      </c>
      <c r="AK260" s="709" t="str">
        <f>IFERROR(INDEX(Reit!I$8:I$64,MATCH(AL260,Reit!F$8:F$64,0)),"")</f>
        <v/>
      </c>
      <c r="AL260" s="710" t="str">
        <f t="shared" si="25"/>
        <v/>
      </c>
      <c r="AM260" s="652"/>
    </row>
    <row r="261" spans="1:39" hidden="1" x14ac:dyDescent="0.2">
      <c r="A261" s="652"/>
      <c r="B261" s="652"/>
      <c r="C261" s="652"/>
      <c r="D261" s="652"/>
      <c r="E261" s="652"/>
      <c r="F261" s="652"/>
      <c r="G261" s="652"/>
      <c r="H261" s="652"/>
      <c r="I261" s="652"/>
      <c r="J261" s="652"/>
      <c r="K261" s="652"/>
      <c r="L261" s="657"/>
      <c r="M261" s="657"/>
      <c r="N261" s="657"/>
      <c r="O261" s="652"/>
      <c r="P261" s="652"/>
      <c r="Q261" s="652"/>
      <c r="R261" s="652"/>
      <c r="S261" s="652"/>
      <c r="T261" s="657"/>
      <c r="U261" s="657"/>
      <c r="V261" s="657"/>
      <c r="W261" s="652"/>
      <c r="X261" s="652"/>
      <c r="Y261" s="652"/>
      <c r="Z261" s="652"/>
      <c r="AA261" s="652"/>
      <c r="AB261" s="652"/>
      <c r="AC261" s="652"/>
      <c r="AD261" s="652"/>
      <c r="AE261" s="709" t="str">
        <f>IFERROR(INDEX(Reit!I$8:I$64,MATCH(AF261,Reit!F$8:F$64,0)),"")</f>
        <v/>
      </c>
      <c r="AF261" s="710" t="str">
        <f t="shared" si="22"/>
        <v/>
      </c>
      <c r="AG261" s="709" t="str">
        <f>IFERROR(INDEX(Reit!I$8:I$64,MATCH(AH261,Reit!F$8:F$64,0)),"")</f>
        <v/>
      </c>
      <c r="AH261" s="710" t="str">
        <f t="shared" si="23"/>
        <v/>
      </c>
      <c r="AI261" s="709" t="str">
        <f>IFERROR(INDEX(Reit!I$8:I$64,MATCH(AJ261,Reit!F$8:F$64,0)),"")</f>
        <v/>
      </c>
      <c r="AJ261" s="710" t="str">
        <f t="shared" si="24"/>
        <v/>
      </c>
      <c r="AK261" s="709" t="str">
        <f>IFERROR(INDEX(Reit!I$8:I$64,MATCH(AL261,Reit!F$8:F$64,0)),"")</f>
        <v/>
      </c>
      <c r="AL261" s="710" t="str">
        <f t="shared" si="25"/>
        <v/>
      </c>
      <c r="AM261" s="652"/>
    </row>
    <row r="262" spans="1:39" hidden="1" x14ac:dyDescent="0.2">
      <c r="A262" s="652"/>
      <c r="B262" s="652"/>
      <c r="C262" s="652"/>
      <c r="D262" s="652"/>
      <c r="E262" s="652"/>
      <c r="F262" s="652"/>
      <c r="G262" s="652"/>
      <c r="H262" s="652"/>
      <c r="I262" s="652"/>
      <c r="J262" s="652"/>
      <c r="K262" s="652"/>
      <c r="L262" s="657"/>
      <c r="M262" s="657"/>
      <c r="N262" s="657"/>
      <c r="O262" s="652"/>
      <c r="P262" s="652"/>
      <c r="Q262" s="652"/>
      <c r="R262" s="652"/>
      <c r="S262" s="652"/>
      <c r="T262" s="657"/>
      <c r="U262" s="657"/>
      <c r="V262" s="657"/>
      <c r="W262" s="652"/>
      <c r="X262" s="652"/>
      <c r="Y262" s="652"/>
      <c r="Z262" s="652"/>
      <c r="AA262" s="652"/>
      <c r="AB262" s="652"/>
      <c r="AC262" s="652"/>
      <c r="AD262" s="652"/>
      <c r="AE262" s="709" t="str">
        <f>IFERROR(INDEX(Reit!I$8:I$64,MATCH(AF262,Reit!F$8:F$64,0)),"")</f>
        <v/>
      </c>
      <c r="AF262" s="710" t="str">
        <f t="shared" si="22"/>
        <v/>
      </c>
      <c r="AG262" s="709" t="str">
        <f>IFERROR(INDEX(Reit!I$8:I$64,MATCH(AH262,Reit!F$8:F$64,0)),"")</f>
        <v/>
      </c>
      <c r="AH262" s="710" t="str">
        <f t="shared" si="23"/>
        <v/>
      </c>
      <c r="AI262" s="709" t="str">
        <f>IFERROR(INDEX(Reit!I$8:I$64,MATCH(AJ262,Reit!F$8:F$64,0)),"")</f>
        <v/>
      </c>
      <c r="AJ262" s="710" t="str">
        <f t="shared" si="24"/>
        <v/>
      </c>
      <c r="AK262" s="709" t="str">
        <f>IFERROR(INDEX(Reit!I$8:I$64,MATCH(AL262,Reit!F$8:F$64,0)),"")</f>
        <v/>
      </c>
      <c r="AL262" s="710" t="str">
        <f t="shared" si="25"/>
        <v/>
      </c>
      <c r="AM262" s="652"/>
    </row>
    <row r="263" spans="1:39" hidden="1" x14ac:dyDescent="0.2">
      <c r="A263" s="652"/>
      <c r="B263" s="652"/>
      <c r="C263" s="652"/>
      <c r="D263" s="652"/>
      <c r="E263" s="652"/>
      <c r="F263" s="652"/>
      <c r="G263" s="652"/>
      <c r="H263" s="652"/>
      <c r="I263" s="652"/>
      <c r="J263" s="652"/>
      <c r="K263" s="652"/>
      <c r="L263" s="657"/>
      <c r="M263" s="657"/>
      <c r="N263" s="657"/>
      <c r="O263" s="652"/>
      <c r="P263" s="652"/>
      <c r="Q263" s="652"/>
      <c r="R263" s="652"/>
      <c r="S263" s="652"/>
      <c r="T263" s="657"/>
      <c r="U263" s="657"/>
      <c r="V263" s="657"/>
      <c r="W263" s="652"/>
      <c r="X263" s="652"/>
      <c r="Y263" s="652"/>
      <c r="Z263" s="652"/>
      <c r="AA263" s="652"/>
      <c r="AB263" s="652"/>
      <c r="AC263" s="652"/>
      <c r="AD263" s="652"/>
      <c r="AE263" s="709" t="str">
        <f>IFERROR(INDEX(Reit!I$8:I$64,MATCH(AF263,Reit!F$8:F$64,0)),"")</f>
        <v/>
      </c>
      <c r="AF263" s="710" t="str">
        <f t="shared" si="22"/>
        <v/>
      </c>
      <c r="AG263" s="709" t="str">
        <f>IFERROR(INDEX(Reit!I$8:I$64,MATCH(AH263,Reit!F$8:F$64,0)),"")</f>
        <v/>
      </c>
      <c r="AH263" s="710" t="str">
        <f t="shared" si="23"/>
        <v/>
      </c>
      <c r="AI263" s="709" t="str">
        <f>IFERROR(INDEX(Reit!I$8:I$64,MATCH(AJ263,Reit!F$8:F$64,0)),"")</f>
        <v/>
      </c>
      <c r="AJ263" s="710" t="str">
        <f t="shared" si="24"/>
        <v/>
      </c>
      <c r="AK263" s="709" t="str">
        <f>IFERROR(INDEX(Reit!I$8:I$64,MATCH(AL263,Reit!F$8:F$64,0)),"")</f>
        <v/>
      </c>
      <c r="AL263" s="710" t="str">
        <f t="shared" si="25"/>
        <v/>
      </c>
      <c r="AM263" s="652"/>
    </row>
    <row r="264" spans="1:39" hidden="1" x14ac:dyDescent="0.2">
      <c r="A264" s="652"/>
      <c r="B264" s="652"/>
      <c r="C264" s="652"/>
      <c r="D264" s="652"/>
      <c r="E264" s="652"/>
      <c r="F264" s="652"/>
      <c r="G264" s="652"/>
      <c r="H264" s="652"/>
      <c r="I264" s="652"/>
      <c r="J264" s="652"/>
      <c r="K264" s="652"/>
      <c r="L264" s="657"/>
      <c r="M264" s="657"/>
      <c r="N264" s="657"/>
      <c r="O264" s="652"/>
      <c r="P264" s="652"/>
      <c r="Q264" s="652"/>
      <c r="R264" s="652"/>
      <c r="S264" s="652"/>
      <c r="T264" s="657"/>
      <c r="U264" s="657"/>
      <c r="V264" s="657"/>
      <c r="W264" s="652"/>
      <c r="X264" s="652"/>
      <c r="Y264" s="652"/>
      <c r="Z264" s="652"/>
      <c r="AA264" s="652"/>
      <c r="AB264" s="652"/>
      <c r="AC264" s="652"/>
      <c r="AD264" s="652"/>
      <c r="AE264" s="709" t="str">
        <f>IFERROR(INDEX(Reit!I$8:I$64,MATCH(AF264,Reit!F$8:F$64,0)),"")</f>
        <v/>
      </c>
      <c r="AF264" s="710" t="str">
        <f t="shared" si="22"/>
        <v/>
      </c>
      <c r="AG264" s="709" t="str">
        <f>IFERROR(INDEX(Reit!I$8:I$64,MATCH(AH264,Reit!F$8:F$64,0)),"")</f>
        <v/>
      </c>
      <c r="AH264" s="710" t="str">
        <f t="shared" si="23"/>
        <v/>
      </c>
      <c r="AI264" s="709" t="str">
        <f>IFERROR(INDEX(Reit!I$8:I$64,MATCH(AJ264,Reit!F$8:F$64,0)),"")</f>
        <v/>
      </c>
      <c r="AJ264" s="710" t="str">
        <f t="shared" si="24"/>
        <v/>
      </c>
      <c r="AK264" s="709" t="str">
        <f>IFERROR(INDEX(Reit!I$8:I$64,MATCH(AL264,Reit!F$8:F$64,0)),"")</f>
        <v/>
      </c>
      <c r="AL264" s="710" t="str">
        <f t="shared" si="25"/>
        <v/>
      </c>
      <c r="AM264" s="652"/>
    </row>
    <row r="265" spans="1:39" hidden="1" x14ac:dyDescent="0.2">
      <c r="A265" s="652"/>
      <c r="B265" s="652"/>
      <c r="C265" s="652"/>
      <c r="D265" s="652"/>
      <c r="E265" s="652"/>
      <c r="F265" s="652"/>
      <c r="G265" s="652"/>
      <c r="H265" s="652"/>
      <c r="I265" s="652"/>
      <c r="J265" s="652"/>
      <c r="K265" s="652"/>
      <c r="L265" s="657"/>
      <c r="M265" s="657"/>
      <c r="N265" s="657"/>
      <c r="O265" s="652"/>
      <c r="P265" s="652"/>
      <c r="Q265" s="652"/>
      <c r="R265" s="652"/>
      <c r="S265" s="652"/>
      <c r="T265" s="657"/>
      <c r="U265" s="657"/>
      <c r="V265" s="657"/>
      <c r="W265" s="652"/>
      <c r="X265" s="652"/>
      <c r="Y265" s="652"/>
      <c r="Z265" s="652"/>
      <c r="AA265" s="652"/>
      <c r="AB265" s="652"/>
      <c r="AC265" s="652"/>
      <c r="AD265" s="652"/>
      <c r="AE265" s="709" t="str">
        <f>IFERROR(INDEX(Reit!I$8:I$64,MATCH(AF265,Reit!F$8:F$64,0)),"")</f>
        <v/>
      </c>
      <c r="AF265" s="710" t="str">
        <f t="shared" ref="AF265:AF297" si="26">IFERROR(LEFT(B265,(FIND(",",B265,1)-1)),"")</f>
        <v/>
      </c>
      <c r="AG265" s="709" t="str">
        <f>IFERROR(INDEX(Reit!I$8:I$64,MATCH(AH265,Reit!F$8:F$64,0)),"")</f>
        <v/>
      </c>
      <c r="AH265" s="710" t="str">
        <f t="shared" ref="AH265:AH297" si="27">IFERROR(MID(B265,FIND(", ",B265)+2,256),"")</f>
        <v/>
      </c>
      <c r="AI265" s="709" t="str">
        <f>IFERROR(INDEX(Reit!I$8:I$64,MATCH(AJ265,Reit!F$8:F$64,0)),"")</f>
        <v/>
      </c>
      <c r="AJ265" s="710" t="str">
        <f t="shared" ref="AJ265:AJ297" si="28">IFERROR(MID(B265,FIND("^",SUBSTITUTE(B265,", ","^",1))+2,FIND("^",SUBSTITUTE(B265,", ","^",2))-FIND("^",SUBSTITUTE(B265,", ","^",1))-2),"")</f>
        <v/>
      </c>
      <c r="AK265" s="709" t="str">
        <f>IFERROR(INDEX(Reit!I$8:I$64,MATCH(AL265,Reit!F$8:F$64,0)),"")</f>
        <v/>
      </c>
      <c r="AL265" s="710" t="str">
        <f t="shared" ref="AL265:AL297" si="29">IFERROR(MID(B265,FIND(", ",B265,FIND(", ",B265,FIND(", ",B265))+1)+2,700),"")</f>
        <v/>
      </c>
      <c r="AM265" s="652"/>
    </row>
    <row r="266" spans="1:39" hidden="1" x14ac:dyDescent="0.2">
      <c r="A266" s="652"/>
      <c r="B266" s="652"/>
      <c r="C266" s="652"/>
      <c r="D266" s="652"/>
      <c r="E266" s="652"/>
      <c r="F266" s="652"/>
      <c r="G266" s="652"/>
      <c r="H266" s="652"/>
      <c r="I266" s="652"/>
      <c r="J266" s="652"/>
      <c r="K266" s="652"/>
      <c r="L266" s="657"/>
      <c r="M266" s="657"/>
      <c r="N266" s="657"/>
      <c r="O266" s="652"/>
      <c r="P266" s="652"/>
      <c r="Q266" s="652"/>
      <c r="R266" s="652"/>
      <c r="S266" s="652"/>
      <c r="T266" s="657"/>
      <c r="U266" s="657"/>
      <c r="V266" s="657"/>
      <c r="W266" s="652"/>
      <c r="X266" s="652"/>
      <c r="Y266" s="652"/>
      <c r="Z266" s="652"/>
      <c r="AA266" s="652"/>
      <c r="AB266" s="652"/>
      <c r="AC266" s="652"/>
      <c r="AD266" s="652"/>
      <c r="AE266" s="709" t="str">
        <f>IFERROR(INDEX(Reit!I$8:I$64,MATCH(AF266,Reit!F$8:F$64,0)),"")</f>
        <v/>
      </c>
      <c r="AF266" s="710" t="str">
        <f t="shared" si="26"/>
        <v/>
      </c>
      <c r="AG266" s="709" t="str">
        <f>IFERROR(INDEX(Reit!I$8:I$64,MATCH(AH266,Reit!F$8:F$64,0)),"")</f>
        <v/>
      </c>
      <c r="AH266" s="710" t="str">
        <f t="shared" si="27"/>
        <v/>
      </c>
      <c r="AI266" s="709" t="str">
        <f>IFERROR(INDEX(Reit!I$8:I$64,MATCH(AJ266,Reit!F$8:F$64,0)),"")</f>
        <v/>
      </c>
      <c r="AJ266" s="710" t="str">
        <f t="shared" si="28"/>
        <v/>
      </c>
      <c r="AK266" s="709" t="str">
        <f>IFERROR(INDEX(Reit!I$8:I$64,MATCH(AL266,Reit!F$8:F$64,0)),"")</f>
        <v/>
      </c>
      <c r="AL266" s="710" t="str">
        <f t="shared" si="29"/>
        <v/>
      </c>
      <c r="AM266" s="652"/>
    </row>
    <row r="267" spans="1:39" hidden="1" x14ac:dyDescent="0.2">
      <c r="A267" s="652"/>
      <c r="B267" s="652"/>
      <c r="C267" s="652"/>
      <c r="D267" s="652"/>
      <c r="E267" s="652"/>
      <c r="F267" s="652"/>
      <c r="G267" s="652"/>
      <c r="H267" s="652"/>
      <c r="I267" s="652"/>
      <c r="J267" s="652"/>
      <c r="K267" s="652"/>
      <c r="L267" s="657"/>
      <c r="M267" s="657"/>
      <c r="N267" s="657"/>
      <c r="O267" s="652"/>
      <c r="P267" s="652"/>
      <c r="Q267" s="652"/>
      <c r="R267" s="652"/>
      <c r="S267" s="652"/>
      <c r="T267" s="657"/>
      <c r="U267" s="657"/>
      <c r="V267" s="657"/>
      <c r="W267" s="652"/>
      <c r="X267" s="652"/>
      <c r="Y267" s="652"/>
      <c r="Z267" s="652"/>
      <c r="AA267" s="652"/>
      <c r="AB267" s="652"/>
      <c r="AC267" s="652"/>
      <c r="AD267" s="652"/>
      <c r="AE267" s="709" t="str">
        <f>IFERROR(INDEX(Reit!I$8:I$64,MATCH(AF267,Reit!F$8:F$64,0)),"")</f>
        <v/>
      </c>
      <c r="AF267" s="710" t="str">
        <f t="shared" si="26"/>
        <v/>
      </c>
      <c r="AG267" s="709" t="str">
        <f>IFERROR(INDEX(Reit!I$8:I$64,MATCH(AH267,Reit!F$8:F$64,0)),"")</f>
        <v/>
      </c>
      <c r="AH267" s="710" t="str">
        <f t="shared" si="27"/>
        <v/>
      </c>
      <c r="AI267" s="709" t="str">
        <f>IFERROR(INDEX(Reit!I$8:I$64,MATCH(AJ267,Reit!F$8:F$64,0)),"")</f>
        <v/>
      </c>
      <c r="AJ267" s="710" t="str">
        <f t="shared" si="28"/>
        <v/>
      </c>
      <c r="AK267" s="709" t="str">
        <f>IFERROR(INDEX(Reit!I$8:I$64,MATCH(AL267,Reit!F$8:F$64,0)),"")</f>
        <v/>
      </c>
      <c r="AL267" s="710" t="str">
        <f t="shared" si="29"/>
        <v/>
      </c>
      <c r="AM267" s="652"/>
    </row>
    <row r="268" spans="1:39" hidden="1" x14ac:dyDescent="0.2">
      <c r="A268" s="652"/>
      <c r="B268" s="652"/>
      <c r="C268" s="652"/>
      <c r="D268" s="652"/>
      <c r="E268" s="652"/>
      <c r="F268" s="652"/>
      <c r="G268" s="652"/>
      <c r="H268" s="652"/>
      <c r="I268" s="652"/>
      <c r="J268" s="652"/>
      <c r="K268" s="652"/>
      <c r="L268" s="657"/>
      <c r="M268" s="657"/>
      <c r="N268" s="657"/>
      <c r="O268" s="652"/>
      <c r="P268" s="652"/>
      <c r="Q268" s="652"/>
      <c r="R268" s="652"/>
      <c r="S268" s="652"/>
      <c r="T268" s="657"/>
      <c r="U268" s="657"/>
      <c r="V268" s="657"/>
      <c r="W268" s="652"/>
      <c r="X268" s="652"/>
      <c r="Y268" s="652"/>
      <c r="Z268" s="652"/>
      <c r="AA268" s="652"/>
      <c r="AB268" s="652"/>
      <c r="AC268" s="652"/>
      <c r="AD268" s="652"/>
      <c r="AE268" s="709" t="str">
        <f>IFERROR(INDEX(Reit!I$8:I$64,MATCH(AF268,Reit!F$8:F$64,0)),"")</f>
        <v/>
      </c>
      <c r="AF268" s="710" t="str">
        <f t="shared" si="26"/>
        <v/>
      </c>
      <c r="AG268" s="709" t="str">
        <f>IFERROR(INDEX(Reit!I$8:I$64,MATCH(AH268,Reit!F$8:F$64,0)),"")</f>
        <v/>
      </c>
      <c r="AH268" s="710" t="str">
        <f t="shared" si="27"/>
        <v/>
      </c>
      <c r="AI268" s="709" t="str">
        <f>IFERROR(INDEX(Reit!I$8:I$64,MATCH(AJ268,Reit!F$8:F$64,0)),"")</f>
        <v/>
      </c>
      <c r="AJ268" s="710" t="str">
        <f t="shared" si="28"/>
        <v/>
      </c>
      <c r="AK268" s="709" t="str">
        <f>IFERROR(INDEX(Reit!I$8:I$64,MATCH(AL268,Reit!F$8:F$64,0)),"")</f>
        <v/>
      </c>
      <c r="AL268" s="710" t="str">
        <f t="shared" si="29"/>
        <v/>
      </c>
      <c r="AM268" s="652"/>
    </row>
    <row r="269" spans="1:39" hidden="1" x14ac:dyDescent="0.2">
      <c r="A269" s="652"/>
      <c r="B269" s="652"/>
      <c r="C269" s="652"/>
      <c r="D269" s="652"/>
      <c r="E269" s="652"/>
      <c r="F269" s="652"/>
      <c r="G269" s="652"/>
      <c r="H269" s="652"/>
      <c r="I269" s="652"/>
      <c r="J269" s="652"/>
      <c r="K269" s="652"/>
      <c r="L269" s="657"/>
      <c r="M269" s="657"/>
      <c r="N269" s="657"/>
      <c r="O269" s="652"/>
      <c r="P269" s="652"/>
      <c r="Q269" s="652"/>
      <c r="R269" s="652"/>
      <c r="S269" s="652"/>
      <c r="T269" s="657"/>
      <c r="U269" s="657"/>
      <c r="V269" s="657"/>
      <c r="W269" s="652"/>
      <c r="X269" s="652"/>
      <c r="Y269" s="652"/>
      <c r="Z269" s="652"/>
      <c r="AA269" s="652"/>
      <c r="AB269" s="652"/>
      <c r="AC269" s="652"/>
      <c r="AD269" s="652"/>
      <c r="AE269" s="709" t="str">
        <f>IFERROR(INDEX(Reit!I$8:I$64,MATCH(AF269,Reit!F$8:F$64,0)),"")</f>
        <v/>
      </c>
      <c r="AF269" s="710" t="str">
        <f t="shared" si="26"/>
        <v/>
      </c>
      <c r="AG269" s="709" t="str">
        <f>IFERROR(INDEX(Reit!I$8:I$64,MATCH(AH269,Reit!F$8:F$64,0)),"")</f>
        <v/>
      </c>
      <c r="AH269" s="710" t="str">
        <f t="shared" si="27"/>
        <v/>
      </c>
      <c r="AI269" s="709" t="str">
        <f>IFERROR(INDEX(Reit!I$8:I$64,MATCH(AJ269,Reit!F$8:F$64,0)),"")</f>
        <v/>
      </c>
      <c r="AJ269" s="710" t="str">
        <f t="shared" si="28"/>
        <v/>
      </c>
      <c r="AK269" s="709" t="str">
        <f>IFERROR(INDEX(Reit!I$8:I$64,MATCH(AL269,Reit!F$8:F$64,0)),"")</f>
        <v/>
      </c>
      <c r="AL269" s="710" t="str">
        <f t="shared" si="29"/>
        <v/>
      </c>
      <c r="AM269" s="652"/>
    </row>
    <row r="270" spans="1:39" hidden="1" x14ac:dyDescent="0.2">
      <c r="A270" s="652"/>
      <c r="B270" s="652"/>
      <c r="C270" s="652"/>
      <c r="D270" s="652"/>
      <c r="E270" s="652"/>
      <c r="F270" s="652"/>
      <c r="G270" s="652"/>
      <c r="H270" s="652"/>
      <c r="I270" s="652"/>
      <c r="J270" s="652"/>
      <c r="K270" s="652"/>
      <c r="L270" s="657"/>
      <c r="M270" s="657"/>
      <c r="N270" s="657"/>
      <c r="O270" s="652"/>
      <c r="P270" s="652"/>
      <c r="Q270" s="652"/>
      <c r="R270" s="652"/>
      <c r="S270" s="652"/>
      <c r="T270" s="657"/>
      <c r="U270" s="657"/>
      <c r="V270" s="657"/>
      <c r="W270" s="652"/>
      <c r="X270" s="652"/>
      <c r="Y270" s="652"/>
      <c r="Z270" s="652"/>
      <c r="AA270" s="652"/>
      <c r="AB270" s="652"/>
      <c r="AC270" s="652"/>
      <c r="AD270" s="652"/>
      <c r="AE270" s="709" t="str">
        <f>IFERROR(INDEX(Reit!I$8:I$64,MATCH(AF270,Reit!F$8:F$64,0)),"")</f>
        <v/>
      </c>
      <c r="AF270" s="710" t="str">
        <f t="shared" si="26"/>
        <v/>
      </c>
      <c r="AG270" s="709" t="str">
        <f>IFERROR(INDEX(Reit!I$8:I$64,MATCH(AH270,Reit!F$8:F$64,0)),"")</f>
        <v/>
      </c>
      <c r="AH270" s="710" t="str">
        <f t="shared" si="27"/>
        <v/>
      </c>
      <c r="AI270" s="709" t="str">
        <f>IFERROR(INDEX(Reit!I$8:I$64,MATCH(AJ270,Reit!F$8:F$64,0)),"")</f>
        <v/>
      </c>
      <c r="AJ270" s="710" t="str">
        <f t="shared" si="28"/>
        <v/>
      </c>
      <c r="AK270" s="709" t="str">
        <f>IFERROR(INDEX(Reit!I$8:I$64,MATCH(AL270,Reit!F$8:F$64,0)),"")</f>
        <v/>
      </c>
      <c r="AL270" s="710" t="str">
        <f t="shared" si="29"/>
        <v/>
      </c>
      <c r="AM270" s="652"/>
    </row>
    <row r="271" spans="1:39" hidden="1" x14ac:dyDescent="0.2">
      <c r="A271" s="652"/>
      <c r="B271" s="652"/>
      <c r="C271" s="652"/>
      <c r="D271" s="652"/>
      <c r="E271" s="652"/>
      <c r="F271" s="652"/>
      <c r="G271" s="652"/>
      <c r="H271" s="652"/>
      <c r="I271" s="652"/>
      <c r="J271" s="652"/>
      <c r="K271" s="652"/>
      <c r="L271" s="657"/>
      <c r="M271" s="657"/>
      <c r="N271" s="657"/>
      <c r="O271" s="652"/>
      <c r="P271" s="652"/>
      <c r="Q271" s="652"/>
      <c r="R271" s="652"/>
      <c r="S271" s="652"/>
      <c r="T271" s="657"/>
      <c r="U271" s="657"/>
      <c r="V271" s="657"/>
      <c r="W271" s="652"/>
      <c r="X271" s="652"/>
      <c r="Y271" s="652"/>
      <c r="Z271" s="652"/>
      <c r="AA271" s="652"/>
      <c r="AB271" s="652"/>
      <c r="AC271" s="652"/>
      <c r="AD271" s="652"/>
      <c r="AE271" s="709" t="str">
        <f>IFERROR(INDEX(Reit!I$8:I$64,MATCH(AF271,Reit!F$8:F$64,0)),"")</f>
        <v/>
      </c>
      <c r="AF271" s="710" t="str">
        <f t="shared" si="26"/>
        <v/>
      </c>
      <c r="AG271" s="709" t="str">
        <f>IFERROR(INDEX(Reit!I$8:I$64,MATCH(AH271,Reit!F$8:F$64,0)),"")</f>
        <v/>
      </c>
      <c r="AH271" s="710" t="str">
        <f t="shared" si="27"/>
        <v/>
      </c>
      <c r="AI271" s="709" t="str">
        <f>IFERROR(INDEX(Reit!I$8:I$64,MATCH(AJ271,Reit!F$8:F$64,0)),"")</f>
        <v/>
      </c>
      <c r="AJ271" s="710" t="str">
        <f t="shared" si="28"/>
        <v/>
      </c>
      <c r="AK271" s="709" t="str">
        <f>IFERROR(INDEX(Reit!I$8:I$64,MATCH(AL271,Reit!F$8:F$64,0)),"")</f>
        <v/>
      </c>
      <c r="AL271" s="710" t="str">
        <f t="shared" si="29"/>
        <v/>
      </c>
      <c r="AM271" s="652"/>
    </row>
    <row r="272" spans="1:39" hidden="1" x14ac:dyDescent="0.2">
      <c r="A272" s="652"/>
      <c r="B272" s="652"/>
      <c r="C272" s="652"/>
      <c r="D272" s="652"/>
      <c r="E272" s="652"/>
      <c r="F272" s="652"/>
      <c r="G272" s="652"/>
      <c r="H272" s="652"/>
      <c r="I272" s="652"/>
      <c r="J272" s="652"/>
      <c r="K272" s="652"/>
      <c r="L272" s="657"/>
      <c r="M272" s="657"/>
      <c r="N272" s="657"/>
      <c r="O272" s="652"/>
      <c r="P272" s="652"/>
      <c r="Q272" s="652"/>
      <c r="R272" s="652"/>
      <c r="S272" s="652"/>
      <c r="T272" s="657"/>
      <c r="U272" s="657"/>
      <c r="V272" s="657"/>
      <c r="W272" s="652"/>
      <c r="X272" s="652"/>
      <c r="Y272" s="652"/>
      <c r="Z272" s="652"/>
      <c r="AA272" s="652"/>
      <c r="AB272" s="652"/>
      <c r="AC272" s="652"/>
      <c r="AD272" s="652"/>
      <c r="AE272" s="709" t="str">
        <f>IFERROR(INDEX(Reit!I$8:I$64,MATCH(AF272,Reit!F$8:F$64,0)),"")</f>
        <v/>
      </c>
      <c r="AF272" s="710" t="str">
        <f t="shared" si="26"/>
        <v/>
      </c>
      <c r="AG272" s="709" t="str">
        <f>IFERROR(INDEX(Reit!I$8:I$64,MATCH(AH272,Reit!F$8:F$64,0)),"")</f>
        <v/>
      </c>
      <c r="AH272" s="710" t="str">
        <f t="shared" si="27"/>
        <v/>
      </c>
      <c r="AI272" s="709" t="str">
        <f>IFERROR(INDEX(Reit!I$8:I$64,MATCH(AJ272,Reit!F$8:F$64,0)),"")</f>
        <v/>
      </c>
      <c r="AJ272" s="710" t="str">
        <f t="shared" si="28"/>
        <v/>
      </c>
      <c r="AK272" s="709" t="str">
        <f>IFERROR(INDEX(Reit!I$8:I$64,MATCH(AL272,Reit!F$8:F$64,0)),"")</f>
        <v/>
      </c>
      <c r="AL272" s="710" t="str">
        <f t="shared" si="29"/>
        <v/>
      </c>
      <c r="AM272" s="652"/>
    </row>
    <row r="273" spans="1:39" hidden="1" x14ac:dyDescent="0.2">
      <c r="A273" s="652"/>
      <c r="B273" s="652"/>
      <c r="C273" s="652"/>
      <c r="D273" s="652"/>
      <c r="E273" s="652"/>
      <c r="F273" s="652"/>
      <c r="G273" s="652"/>
      <c r="H273" s="652"/>
      <c r="I273" s="652"/>
      <c r="J273" s="652"/>
      <c r="K273" s="652"/>
      <c r="L273" s="657"/>
      <c r="M273" s="657"/>
      <c r="N273" s="657"/>
      <c r="O273" s="652"/>
      <c r="P273" s="652"/>
      <c r="Q273" s="652"/>
      <c r="R273" s="652"/>
      <c r="S273" s="652"/>
      <c r="T273" s="657"/>
      <c r="U273" s="657"/>
      <c r="V273" s="657"/>
      <c r="W273" s="652"/>
      <c r="X273" s="652"/>
      <c r="Y273" s="652"/>
      <c r="Z273" s="652"/>
      <c r="AA273" s="652"/>
      <c r="AB273" s="652"/>
      <c r="AC273" s="652"/>
      <c r="AD273" s="652"/>
      <c r="AE273" s="709" t="str">
        <f>IFERROR(INDEX(Reit!I$8:I$64,MATCH(AF273,Reit!F$8:F$64,0)),"")</f>
        <v/>
      </c>
      <c r="AF273" s="710" t="str">
        <f t="shared" si="26"/>
        <v/>
      </c>
      <c r="AG273" s="709" t="str">
        <f>IFERROR(INDEX(Reit!I$8:I$64,MATCH(AH273,Reit!F$8:F$64,0)),"")</f>
        <v/>
      </c>
      <c r="AH273" s="710" t="str">
        <f t="shared" si="27"/>
        <v/>
      </c>
      <c r="AI273" s="709" t="str">
        <f>IFERROR(INDEX(Reit!I$8:I$64,MATCH(AJ273,Reit!F$8:F$64,0)),"")</f>
        <v/>
      </c>
      <c r="AJ273" s="710" t="str">
        <f t="shared" si="28"/>
        <v/>
      </c>
      <c r="AK273" s="709" t="str">
        <f>IFERROR(INDEX(Reit!I$8:I$64,MATCH(AL273,Reit!F$8:F$64,0)),"")</f>
        <v/>
      </c>
      <c r="AL273" s="710" t="str">
        <f t="shared" si="29"/>
        <v/>
      </c>
      <c r="AM273" s="652"/>
    </row>
    <row r="274" spans="1:39" hidden="1" x14ac:dyDescent="0.2">
      <c r="A274" s="652"/>
      <c r="B274" s="652"/>
      <c r="C274" s="652"/>
      <c r="D274" s="652"/>
      <c r="E274" s="652"/>
      <c r="F274" s="652"/>
      <c r="G274" s="652"/>
      <c r="H274" s="652"/>
      <c r="I274" s="652"/>
      <c r="J274" s="652"/>
      <c r="K274" s="652"/>
      <c r="L274" s="657"/>
      <c r="M274" s="657"/>
      <c r="N274" s="657"/>
      <c r="O274" s="652"/>
      <c r="P274" s="652"/>
      <c r="Q274" s="652"/>
      <c r="R274" s="652"/>
      <c r="S274" s="652"/>
      <c r="T274" s="657"/>
      <c r="U274" s="657"/>
      <c r="V274" s="657"/>
      <c r="W274" s="652"/>
      <c r="X274" s="652"/>
      <c r="Y274" s="652"/>
      <c r="Z274" s="652"/>
      <c r="AA274" s="652"/>
      <c r="AB274" s="652"/>
      <c r="AC274" s="652"/>
      <c r="AD274" s="652"/>
      <c r="AE274" s="709" t="str">
        <f>IFERROR(INDEX(Reit!I$8:I$64,MATCH(AF274,Reit!F$8:F$64,0)),"")</f>
        <v/>
      </c>
      <c r="AF274" s="710" t="str">
        <f t="shared" si="26"/>
        <v/>
      </c>
      <c r="AG274" s="709" t="str">
        <f>IFERROR(INDEX(Reit!I$8:I$64,MATCH(AH274,Reit!F$8:F$64,0)),"")</f>
        <v/>
      </c>
      <c r="AH274" s="710" t="str">
        <f t="shared" si="27"/>
        <v/>
      </c>
      <c r="AI274" s="709" t="str">
        <f>IFERROR(INDEX(Reit!I$8:I$64,MATCH(AJ274,Reit!F$8:F$64,0)),"")</f>
        <v/>
      </c>
      <c r="AJ274" s="710" t="str">
        <f t="shared" si="28"/>
        <v/>
      </c>
      <c r="AK274" s="709" t="str">
        <f>IFERROR(INDEX(Reit!I$8:I$64,MATCH(AL274,Reit!F$8:F$64,0)),"")</f>
        <v/>
      </c>
      <c r="AL274" s="710" t="str">
        <f t="shared" si="29"/>
        <v/>
      </c>
      <c r="AM274" s="652"/>
    </row>
    <row r="275" spans="1:39" hidden="1" x14ac:dyDescent="0.2">
      <c r="A275" s="652"/>
      <c r="B275" s="652"/>
      <c r="C275" s="652"/>
      <c r="D275" s="652"/>
      <c r="E275" s="652"/>
      <c r="F275" s="652"/>
      <c r="G275" s="652"/>
      <c r="H275" s="652"/>
      <c r="I275" s="652"/>
      <c r="J275" s="652"/>
      <c r="K275" s="652"/>
      <c r="L275" s="657"/>
      <c r="M275" s="657"/>
      <c r="N275" s="657"/>
      <c r="O275" s="652"/>
      <c r="P275" s="652"/>
      <c r="Q275" s="652"/>
      <c r="R275" s="652"/>
      <c r="S275" s="652"/>
      <c r="T275" s="657"/>
      <c r="U275" s="657"/>
      <c r="V275" s="657"/>
      <c r="W275" s="652"/>
      <c r="X275" s="652"/>
      <c r="Y275" s="652"/>
      <c r="Z275" s="652"/>
      <c r="AA275" s="652"/>
      <c r="AB275" s="652"/>
      <c r="AC275" s="652"/>
      <c r="AD275" s="652"/>
      <c r="AE275" s="709" t="str">
        <f>IFERROR(INDEX(Reit!I$8:I$64,MATCH(AF275,Reit!F$8:F$64,0)),"")</f>
        <v/>
      </c>
      <c r="AF275" s="710" t="str">
        <f t="shared" si="26"/>
        <v/>
      </c>
      <c r="AG275" s="709" t="str">
        <f>IFERROR(INDEX(Reit!I$8:I$64,MATCH(AH275,Reit!F$8:F$64,0)),"")</f>
        <v/>
      </c>
      <c r="AH275" s="710" t="str">
        <f t="shared" si="27"/>
        <v/>
      </c>
      <c r="AI275" s="709" t="str">
        <f>IFERROR(INDEX(Reit!I$8:I$64,MATCH(AJ275,Reit!F$8:F$64,0)),"")</f>
        <v/>
      </c>
      <c r="AJ275" s="710" t="str">
        <f t="shared" si="28"/>
        <v/>
      </c>
      <c r="AK275" s="709" t="str">
        <f>IFERROR(INDEX(Reit!I$8:I$64,MATCH(AL275,Reit!F$8:F$64,0)),"")</f>
        <v/>
      </c>
      <c r="AL275" s="710" t="str">
        <f t="shared" si="29"/>
        <v/>
      </c>
      <c r="AM275" s="652"/>
    </row>
    <row r="276" spans="1:39" hidden="1" x14ac:dyDescent="0.2">
      <c r="A276" s="652"/>
      <c r="B276" s="652"/>
      <c r="C276" s="652"/>
      <c r="D276" s="652"/>
      <c r="E276" s="652"/>
      <c r="F276" s="652"/>
      <c r="G276" s="652"/>
      <c r="H276" s="652"/>
      <c r="I276" s="652"/>
      <c r="J276" s="652"/>
      <c r="K276" s="652"/>
      <c r="L276" s="657"/>
      <c r="M276" s="657"/>
      <c r="N276" s="657"/>
      <c r="O276" s="652"/>
      <c r="P276" s="652"/>
      <c r="Q276" s="652"/>
      <c r="R276" s="652"/>
      <c r="S276" s="652"/>
      <c r="T276" s="657"/>
      <c r="U276" s="657"/>
      <c r="V276" s="657"/>
      <c r="W276" s="652"/>
      <c r="X276" s="652"/>
      <c r="Y276" s="652"/>
      <c r="Z276" s="652"/>
      <c r="AA276" s="652"/>
      <c r="AB276" s="652"/>
      <c r="AC276" s="652"/>
      <c r="AD276" s="652"/>
      <c r="AE276" s="709" t="str">
        <f>IFERROR(INDEX(Reit!I$8:I$64,MATCH(AF276,Reit!F$8:F$64,0)),"")</f>
        <v/>
      </c>
      <c r="AF276" s="710" t="str">
        <f t="shared" si="26"/>
        <v/>
      </c>
      <c r="AG276" s="709" t="str">
        <f>IFERROR(INDEX(Reit!I$8:I$64,MATCH(AH276,Reit!F$8:F$64,0)),"")</f>
        <v/>
      </c>
      <c r="AH276" s="710" t="str">
        <f t="shared" si="27"/>
        <v/>
      </c>
      <c r="AI276" s="709" t="str">
        <f>IFERROR(INDEX(Reit!I$8:I$64,MATCH(AJ276,Reit!F$8:F$64,0)),"")</f>
        <v/>
      </c>
      <c r="AJ276" s="710" t="str">
        <f t="shared" si="28"/>
        <v/>
      </c>
      <c r="AK276" s="709" t="str">
        <f>IFERROR(INDEX(Reit!I$8:I$64,MATCH(AL276,Reit!F$8:F$64,0)),"")</f>
        <v/>
      </c>
      <c r="AL276" s="710" t="str">
        <f t="shared" si="29"/>
        <v/>
      </c>
      <c r="AM276" s="652"/>
    </row>
    <row r="277" spans="1:39" hidden="1" x14ac:dyDescent="0.2">
      <c r="A277" s="652"/>
      <c r="B277" s="652"/>
      <c r="C277" s="652"/>
      <c r="D277" s="652"/>
      <c r="E277" s="652"/>
      <c r="F277" s="652"/>
      <c r="G277" s="652"/>
      <c r="H277" s="652"/>
      <c r="I277" s="652"/>
      <c r="J277" s="652"/>
      <c r="K277" s="652"/>
      <c r="L277" s="657"/>
      <c r="M277" s="657"/>
      <c r="N277" s="657"/>
      <c r="O277" s="652"/>
      <c r="P277" s="652"/>
      <c r="Q277" s="652"/>
      <c r="R277" s="652"/>
      <c r="S277" s="652"/>
      <c r="T277" s="657"/>
      <c r="U277" s="657"/>
      <c r="V277" s="657"/>
      <c r="W277" s="652"/>
      <c r="X277" s="652"/>
      <c r="Y277" s="652"/>
      <c r="Z277" s="652"/>
      <c r="AA277" s="652"/>
      <c r="AB277" s="652"/>
      <c r="AC277" s="652"/>
      <c r="AD277" s="652"/>
      <c r="AE277" s="709" t="str">
        <f>IFERROR(INDEX(Reit!I$8:I$64,MATCH(AF277,Reit!F$8:F$64,0)),"")</f>
        <v/>
      </c>
      <c r="AF277" s="710" t="str">
        <f t="shared" si="26"/>
        <v/>
      </c>
      <c r="AG277" s="709" t="str">
        <f>IFERROR(INDEX(Reit!I$8:I$64,MATCH(AH277,Reit!F$8:F$64,0)),"")</f>
        <v/>
      </c>
      <c r="AH277" s="710" t="str">
        <f t="shared" si="27"/>
        <v/>
      </c>
      <c r="AI277" s="709" t="str">
        <f>IFERROR(INDEX(Reit!I$8:I$64,MATCH(AJ277,Reit!F$8:F$64,0)),"")</f>
        <v/>
      </c>
      <c r="AJ277" s="710" t="str">
        <f t="shared" si="28"/>
        <v/>
      </c>
      <c r="AK277" s="709" t="str">
        <f>IFERROR(INDEX(Reit!I$8:I$64,MATCH(AL277,Reit!F$8:F$64,0)),"")</f>
        <v/>
      </c>
      <c r="AL277" s="710" t="str">
        <f t="shared" si="29"/>
        <v/>
      </c>
      <c r="AM277" s="652"/>
    </row>
    <row r="278" spans="1:39" hidden="1" x14ac:dyDescent="0.2">
      <c r="A278" s="652"/>
      <c r="B278" s="652"/>
      <c r="C278" s="652"/>
      <c r="D278" s="652"/>
      <c r="E278" s="652"/>
      <c r="F278" s="652"/>
      <c r="G278" s="652"/>
      <c r="H278" s="652"/>
      <c r="I278" s="652"/>
      <c r="J278" s="652"/>
      <c r="K278" s="652"/>
      <c r="L278" s="657"/>
      <c r="M278" s="657"/>
      <c r="N278" s="657"/>
      <c r="O278" s="652"/>
      <c r="P278" s="652"/>
      <c r="Q278" s="652"/>
      <c r="R278" s="652"/>
      <c r="S278" s="652"/>
      <c r="T278" s="657"/>
      <c r="U278" s="657"/>
      <c r="V278" s="657"/>
      <c r="W278" s="652"/>
      <c r="X278" s="652"/>
      <c r="Y278" s="652"/>
      <c r="Z278" s="652"/>
      <c r="AA278" s="652"/>
      <c r="AB278" s="652"/>
      <c r="AC278" s="652"/>
      <c r="AD278" s="652"/>
      <c r="AE278" s="709" t="str">
        <f>IFERROR(INDEX(Reit!I$8:I$64,MATCH(AF278,Reit!F$8:F$64,0)),"")</f>
        <v/>
      </c>
      <c r="AF278" s="710" t="str">
        <f t="shared" si="26"/>
        <v/>
      </c>
      <c r="AG278" s="709" t="str">
        <f>IFERROR(INDEX(Reit!I$8:I$64,MATCH(AH278,Reit!F$8:F$64,0)),"")</f>
        <v/>
      </c>
      <c r="AH278" s="710" t="str">
        <f t="shared" si="27"/>
        <v/>
      </c>
      <c r="AI278" s="709" t="str">
        <f>IFERROR(INDEX(Reit!I$8:I$64,MATCH(AJ278,Reit!F$8:F$64,0)),"")</f>
        <v/>
      </c>
      <c r="AJ278" s="710" t="str">
        <f t="shared" si="28"/>
        <v/>
      </c>
      <c r="AK278" s="709" t="str">
        <f>IFERROR(INDEX(Reit!I$8:I$64,MATCH(AL278,Reit!F$8:F$64,0)),"")</f>
        <v/>
      </c>
      <c r="AL278" s="710" t="str">
        <f t="shared" si="29"/>
        <v/>
      </c>
      <c r="AM278" s="652"/>
    </row>
    <row r="279" spans="1:39" hidden="1" x14ac:dyDescent="0.2">
      <c r="A279" s="652"/>
      <c r="B279" s="652"/>
      <c r="C279" s="652"/>
      <c r="D279" s="652"/>
      <c r="E279" s="652"/>
      <c r="F279" s="652"/>
      <c r="G279" s="652"/>
      <c r="H279" s="652"/>
      <c r="I279" s="652"/>
      <c r="J279" s="652"/>
      <c r="K279" s="652"/>
      <c r="L279" s="657"/>
      <c r="M279" s="657"/>
      <c r="N279" s="657"/>
      <c r="O279" s="652"/>
      <c r="P279" s="652"/>
      <c r="Q279" s="652"/>
      <c r="R279" s="652"/>
      <c r="S279" s="652"/>
      <c r="T279" s="657"/>
      <c r="U279" s="657"/>
      <c r="V279" s="657"/>
      <c r="W279" s="652"/>
      <c r="X279" s="652"/>
      <c r="Y279" s="652"/>
      <c r="Z279" s="652"/>
      <c r="AA279" s="652"/>
      <c r="AB279" s="652"/>
      <c r="AC279" s="652"/>
      <c r="AD279" s="652"/>
      <c r="AE279" s="709" t="str">
        <f>IFERROR(INDEX(Reit!I$8:I$64,MATCH(AF279,Reit!F$8:F$64,0)),"")</f>
        <v/>
      </c>
      <c r="AF279" s="710" t="str">
        <f t="shared" si="26"/>
        <v/>
      </c>
      <c r="AG279" s="709" t="str">
        <f>IFERROR(INDEX(Reit!I$8:I$64,MATCH(AH279,Reit!F$8:F$64,0)),"")</f>
        <v/>
      </c>
      <c r="AH279" s="710" t="str">
        <f t="shared" si="27"/>
        <v/>
      </c>
      <c r="AI279" s="709" t="str">
        <f>IFERROR(INDEX(Reit!I$8:I$64,MATCH(AJ279,Reit!F$8:F$64,0)),"")</f>
        <v/>
      </c>
      <c r="AJ279" s="710" t="str">
        <f t="shared" si="28"/>
        <v/>
      </c>
      <c r="AK279" s="709" t="str">
        <f>IFERROR(INDEX(Reit!I$8:I$64,MATCH(AL279,Reit!F$8:F$64,0)),"")</f>
        <v/>
      </c>
      <c r="AL279" s="710" t="str">
        <f t="shared" si="29"/>
        <v/>
      </c>
      <c r="AM279" s="652"/>
    </row>
    <row r="280" spans="1:39" hidden="1" x14ac:dyDescent="0.2">
      <c r="A280" s="652"/>
      <c r="B280" s="652"/>
      <c r="C280" s="652"/>
      <c r="D280" s="652"/>
      <c r="E280" s="652"/>
      <c r="F280" s="652"/>
      <c r="G280" s="652"/>
      <c r="H280" s="652"/>
      <c r="I280" s="652"/>
      <c r="J280" s="652"/>
      <c r="K280" s="652"/>
      <c r="L280" s="657"/>
      <c r="M280" s="657"/>
      <c r="N280" s="657"/>
      <c r="O280" s="652"/>
      <c r="P280" s="652"/>
      <c r="Q280" s="652"/>
      <c r="R280" s="652"/>
      <c r="S280" s="652"/>
      <c r="T280" s="657"/>
      <c r="U280" s="657"/>
      <c r="V280" s="657"/>
      <c r="W280" s="652"/>
      <c r="X280" s="652"/>
      <c r="Y280" s="652"/>
      <c r="Z280" s="652"/>
      <c r="AA280" s="652"/>
      <c r="AB280" s="652"/>
      <c r="AC280" s="652"/>
      <c r="AD280" s="652"/>
      <c r="AE280" s="709" t="str">
        <f>IFERROR(INDEX(Reit!I$8:I$64,MATCH(AF280,Reit!F$8:F$64,0)),"")</f>
        <v/>
      </c>
      <c r="AF280" s="710" t="str">
        <f t="shared" si="26"/>
        <v/>
      </c>
      <c r="AG280" s="709" t="str">
        <f>IFERROR(INDEX(Reit!I$8:I$64,MATCH(AH280,Reit!F$8:F$64,0)),"")</f>
        <v/>
      </c>
      <c r="AH280" s="710" t="str">
        <f t="shared" si="27"/>
        <v/>
      </c>
      <c r="AI280" s="709" t="str">
        <f>IFERROR(INDEX(Reit!I$8:I$64,MATCH(AJ280,Reit!F$8:F$64,0)),"")</f>
        <v/>
      </c>
      <c r="AJ280" s="710" t="str">
        <f t="shared" si="28"/>
        <v/>
      </c>
      <c r="AK280" s="709" t="str">
        <f>IFERROR(INDEX(Reit!I$8:I$64,MATCH(AL280,Reit!F$8:F$64,0)),"")</f>
        <v/>
      </c>
      <c r="AL280" s="710" t="str">
        <f t="shared" si="29"/>
        <v/>
      </c>
      <c r="AM280" s="652"/>
    </row>
    <row r="281" spans="1:39" hidden="1" x14ac:dyDescent="0.2">
      <c r="A281" s="652"/>
      <c r="B281" s="652"/>
      <c r="C281" s="652"/>
      <c r="D281" s="652"/>
      <c r="E281" s="652"/>
      <c r="F281" s="652"/>
      <c r="G281" s="652"/>
      <c r="H281" s="652"/>
      <c r="I281" s="652"/>
      <c r="J281" s="652"/>
      <c r="K281" s="652"/>
      <c r="L281" s="657"/>
      <c r="M281" s="657"/>
      <c r="N281" s="657"/>
      <c r="O281" s="652"/>
      <c r="P281" s="652"/>
      <c r="Q281" s="652"/>
      <c r="R281" s="652"/>
      <c r="S281" s="652"/>
      <c r="T281" s="657"/>
      <c r="U281" s="657"/>
      <c r="V281" s="657"/>
      <c r="W281" s="652"/>
      <c r="X281" s="652"/>
      <c r="Y281" s="652"/>
      <c r="Z281" s="652"/>
      <c r="AA281" s="652"/>
      <c r="AB281" s="652"/>
      <c r="AC281" s="652"/>
      <c r="AD281" s="652"/>
      <c r="AE281" s="709" t="str">
        <f>IFERROR(INDEX(Reit!I$8:I$64,MATCH(AF281,Reit!F$8:F$64,0)),"")</f>
        <v/>
      </c>
      <c r="AF281" s="710" t="str">
        <f t="shared" si="26"/>
        <v/>
      </c>
      <c r="AG281" s="709" t="str">
        <f>IFERROR(INDEX(Reit!I$8:I$64,MATCH(AH281,Reit!F$8:F$64,0)),"")</f>
        <v/>
      </c>
      <c r="AH281" s="710" t="str">
        <f t="shared" si="27"/>
        <v/>
      </c>
      <c r="AI281" s="709" t="str">
        <f>IFERROR(INDEX(Reit!I$8:I$64,MATCH(AJ281,Reit!F$8:F$64,0)),"")</f>
        <v/>
      </c>
      <c r="AJ281" s="710" t="str">
        <f t="shared" si="28"/>
        <v/>
      </c>
      <c r="AK281" s="709" t="str">
        <f>IFERROR(INDEX(Reit!I$8:I$64,MATCH(AL281,Reit!F$8:F$64,0)),"")</f>
        <v/>
      </c>
      <c r="AL281" s="710" t="str">
        <f t="shared" si="29"/>
        <v/>
      </c>
      <c r="AM281" s="652"/>
    </row>
    <row r="282" spans="1:39" hidden="1" x14ac:dyDescent="0.2">
      <c r="A282" s="652"/>
      <c r="B282" s="652"/>
      <c r="C282" s="652"/>
      <c r="D282" s="652"/>
      <c r="E282" s="652"/>
      <c r="F282" s="652"/>
      <c r="G282" s="652"/>
      <c r="H282" s="652"/>
      <c r="I282" s="652"/>
      <c r="J282" s="652"/>
      <c r="K282" s="652"/>
      <c r="L282" s="657"/>
      <c r="M282" s="657"/>
      <c r="N282" s="657"/>
      <c r="O282" s="652"/>
      <c r="P282" s="652"/>
      <c r="Q282" s="652"/>
      <c r="R282" s="652"/>
      <c r="S282" s="652"/>
      <c r="T282" s="657"/>
      <c r="U282" s="657"/>
      <c r="V282" s="657"/>
      <c r="W282" s="652"/>
      <c r="X282" s="652"/>
      <c r="Y282" s="652"/>
      <c r="Z282" s="652"/>
      <c r="AA282" s="652"/>
      <c r="AB282" s="652"/>
      <c r="AC282" s="652"/>
      <c r="AD282" s="652"/>
      <c r="AE282" s="709" t="str">
        <f>IFERROR(INDEX(Reit!I$8:I$64,MATCH(AF282,Reit!F$8:F$64,0)),"")</f>
        <v/>
      </c>
      <c r="AF282" s="710" t="str">
        <f t="shared" si="26"/>
        <v/>
      </c>
      <c r="AG282" s="709" t="str">
        <f>IFERROR(INDEX(Reit!I$8:I$64,MATCH(AH282,Reit!F$8:F$64,0)),"")</f>
        <v/>
      </c>
      <c r="AH282" s="710" t="str">
        <f t="shared" si="27"/>
        <v/>
      </c>
      <c r="AI282" s="709" t="str">
        <f>IFERROR(INDEX(Reit!I$8:I$64,MATCH(AJ282,Reit!F$8:F$64,0)),"")</f>
        <v/>
      </c>
      <c r="AJ282" s="710" t="str">
        <f t="shared" si="28"/>
        <v/>
      </c>
      <c r="AK282" s="709" t="str">
        <f>IFERROR(INDEX(Reit!I$8:I$64,MATCH(AL282,Reit!F$8:F$64,0)),"")</f>
        <v/>
      </c>
      <c r="AL282" s="710" t="str">
        <f t="shared" si="29"/>
        <v/>
      </c>
      <c r="AM282" s="652"/>
    </row>
    <row r="283" spans="1:39" hidden="1" x14ac:dyDescent="0.2">
      <c r="A283" s="652"/>
      <c r="B283" s="652"/>
      <c r="C283" s="652"/>
      <c r="D283" s="652"/>
      <c r="E283" s="652"/>
      <c r="F283" s="652"/>
      <c r="G283" s="652"/>
      <c r="H283" s="652"/>
      <c r="I283" s="652"/>
      <c r="J283" s="652"/>
      <c r="K283" s="652"/>
      <c r="L283" s="657"/>
      <c r="M283" s="657"/>
      <c r="N283" s="657"/>
      <c r="O283" s="652"/>
      <c r="P283" s="652"/>
      <c r="Q283" s="652"/>
      <c r="R283" s="652"/>
      <c r="S283" s="652"/>
      <c r="T283" s="657"/>
      <c r="U283" s="657"/>
      <c r="V283" s="657"/>
      <c r="W283" s="652"/>
      <c r="X283" s="652"/>
      <c r="Y283" s="652"/>
      <c r="Z283" s="652"/>
      <c r="AA283" s="652"/>
      <c r="AB283" s="652"/>
      <c r="AC283" s="652"/>
      <c r="AD283" s="652"/>
      <c r="AE283" s="709" t="str">
        <f>IFERROR(INDEX(Reit!I$8:I$64,MATCH(AF283,Reit!F$8:F$64,0)),"")</f>
        <v/>
      </c>
      <c r="AF283" s="710" t="str">
        <f t="shared" si="26"/>
        <v/>
      </c>
      <c r="AG283" s="709" t="str">
        <f>IFERROR(INDEX(Reit!I$8:I$64,MATCH(AH283,Reit!F$8:F$64,0)),"")</f>
        <v/>
      </c>
      <c r="AH283" s="710" t="str">
        <f t="shared" si="27"/>
        <v/>
      </c>
      <c r="AI283" s="709" t="str">
        <f>IFERROR(INDEX(Reit!I$8:I$64,MATCH(AJ283,Reit!F$8:F$64,0)),"")</f>
        <v/>
      </c>
      <c r="AJ283" s="710" t="str">
        <f t="shared" si="28"/>
        <v/>
      </c>
      <c r="AK283" s="709" t="str">
        <f>IFERROR(INDEX(Reit!I$8:I$64,MATCH(AL283,Reit!F$8:F$64,0)),"")</f>
        <v/>
      </c>
      <c r="AL283" s="710" t="str">
        <f t="shared" si="29"/>
        <v/>
      </c>
      <c r="AM283" s="652"/>
    </row>
    <row r="284" spans="1:39" hidden="1" x14ac:dyDescent="0.2">
      <c r="A284" s="652"/>
      <c r="B284" s="652"/>
      <c r="C284" s="652"/>
      <c r="D284" s="652"/>
      <c r="E284" s="652"/>
      <c r="F284" s="652"/>
      <c r="G284" s="652"/>
      <c r="H284" s="652"/>
      <c r="I284" s="652"/>
      <c r="J284" s="652"/>
      <c r="K284" s="652"/>
      <c r="L284" s="657"/>
      <c r="M284" s="657"/>
      <c r="N284" s="657"/>
      <c r="O284" s="652"/>
      <c r="P284" s="652"/>
      <c r="Q284" s="652"/>
      <c r="R284" s="652"/>
      <c r="S284" s="652"/>
      <c r="T284" s="657"/>
      <c r="U284" s="657"/>
      <c r="V284" s="657"/>
      <c r="W284" s="652"/>
      <c r="X284" s="652"/>
      <c r="Y284" s="652"/>
      <c r="Z284" s="652"/>
      <c r="AA284" s="652"/>
      <c r="AB284" s="652"/>
      <c r="AC284" s="652"/>
      <c r="AD284" s="652"/>
      <c r="AE284" s="709" t="str">
        <f>IFERROR(INDEX(Reit!I$8:I$64,MATCH(AF284,Reit!F$8:F$64,0)),"")</f>
        <v/>
      </c>
      <c r="AF284" s="710" t="str">
        <f t="shared" si="26"/>
        <v/>
      </c>
      <c r="AG284" s="709" t="str">
        <f>IFERROR(INDEX(Reit!I$8:I$64,MATCH(AH284,Reit!F$8:F$64,0)),"")</f>
        <v/>
      </c>
      <c r="AH284" s="710" t="str">
        <f t="shared" si="27"/>
        <v/>
      </c>
      <c r="AI284" s="709" t="str">
        <f>IFERROR(INDEX(Reit!I$8:I$64,MATCH(AJ284,Reit!F$8:F$64,0)),"")</f>
        <v/>
      </c>
      <c r="AJ284" s="710" t="str">
        <f t="shared" si="28"/>
        <v/>
      </c>
      <c r="AK284" s="709" t="str">
        <f>IFERROR(INDEX(Reit!I$8:I$64,MATCH(AL284,Reit!F$8:F$64,0)),"")</f>
        <v/>
      </c>
      <c r="AL284" s="710" t="str">
        <f t="shared" si="29"/>
        <v/>
      </c>
      <c r="AM284" s="652"/>
    </row>
    <row r="285" spans="1:39" hidden="1" x14ac:dyDescent="0.2">
      <c r="A285" s="652"/>
      <c r="B285" s="652"/>
      <c r="C285" s="652"/>
      <c r="D285" s="652"/>
      <c r="E285" s="652"/>
      <c r="F285" s="652"/>
      <c r="G285" s="652"/>
      <c r="H285" s="652"/>
      <c r="I285" s="652"/>
      <c r="J285" s="652"/>
      <c r="K285" s="652"/>
      <c r="L285" s="657"/>
      <c r="M285" s="657"/>
      <c r="N285" s="657"/>
      <c r="O285" s="652"/>
      <c r="P285" s="652"/>
      <c r="Q285" s="652"/>
      <c r="R285" s="652"/>
      <c r="S285" s="652"/>
      <c r="T285" s="657"/>
      <c r="U285" s="657"/>
      <c r="V285" s="657"/>
      <c r="W285" s="652"/>
      <c r="X285" s="652"/>
      <c r="Y285" s="652"/>
      <c r="Z285" s="652"/>
      <c r="AA285" s="652"/>
      <c r="AB285" s="652"/>
      <c r="AC285" s="652"/>
      <c r="AD285" s="652"/>
      <c r="AE285" s="709" t="str">
        <f>IFERROR(INDEX(Reit!I$8:I$64,MATCH(AF285,Reit!F$8:F$64,0)),"")</f>
        <v/>
      </c>
      <c r="AF285" s="710" t="str">
        <f t="shared" si="26"/>
        <v/>
      </c>
      <c r="AG285" s="709" t="str">
        <f>IFERROR(INDEX(Reit!I$8:I$64,MATCH(AH285,Reit!F$8:F$64,0)),"")</f>
        <v/>
      </c>
      <c r="AH285" s="710" t="str">
        <f t="shared" si="27"/>
        <v/>
      </c>
      <c r="AI285" s="709" t="str">
        <f>IFERROR(INDEX(Reit!I$8:I$64,MATCH(AJ285,Reit!F$8:F$64,0)),"")</f>
        <v/>
      </c>
      <c r="AJ285" s="710" t="str">
        <f t="shared" si="28"/>
        <v/>
      </c>
      <c r="AK285" s="709" t="str">
        <f>IFERROR(INDEX(Reit!I$8:I$64,MATCH(AL285,Reit!F$8:F$64,0)),"")</f>
        <v/>
      </c>
      <c r="AL285" s="710" t="str">
        <f t="shared" si="29"/>
        <v/>
      </c>
      <c r="AM285" s="652"/>
    </row>
    <row r="286" spans="1:39" hidden="1" x14ac:dyDescent="0.2">
      <c r="A286" s="652"/>
      <c r="B286" s="652"/>
      <c r="C286" s="652"/>
      <c r="D286" s="652"/>
      <c r="E286" s="652"/>
      <c r="F286" s="652"/>
      <c r="G286" s="652"/>
      <c r="H286" s="652"/>
      <c r="I286" s="652"/>
      <c r="J286" s="652"/>
      <c r="K286" s="652"/>
      <c r="L286" s="657"/>
      <c r="M286" s="657"/>
      <c r="N286" s="657"/>
      <c r="O286" s="652"/>
      <c r="P286" s="652"/>
      <c r="Q286" s="652"/>
      <c r="R286" s="652"/>
      <c r="S286" s="652"/>
      <c r="T286" s="657"/>
      <c r="U286" s="657"/>
      <c r="V286" s="657"/>
      <c r="W286" s="652"/>
      <c r="X286" s="652"/>
      <c r="Y286" s="652"/>
      <c r="Z286" s="652"/>
      <c r="AA286" s="652"/>
      <c r="AB286" s="652"/>
      <c r="AC286" s="652"/>
      <c r="AD286" s="652"/>
      <c r="AE286" s="709" t="str">
        <f>IFERROR(INDEX(Reit!I$8:I$64,MATCH(AF286,Reit!F$8:F$64,0)),"")</f>
        <v/>
      </c>
      <c r="AF286" s="710" t="str">
        <f t="shared" si="26"/>
        <v/>
      </c>
      <c r="AG286" s="709" t="str">
        <f>IFERROR(INDEX(Reit!I$8:I$64,MATCH(AH286,Reit!F$8:F$64,0)),"")</f>
        <v/>
      </c>
      <c r="AH286" s="710" t="str">
        <f t="shared" si="27"/>
        <v/>
      </c>
      <c r="AI286" s="709" t="str">
        <f>IFERROR(INDEX(Reit!I$8:I$64,MATCH(AJ286,Reit!F$8:F$64,0)),"")</f>
        <v/>
      </c>
      <c r="AJ286" s="710" t="str">
        <f t="shared" si="28"/>
        <v/>
      </c>
      <c r="AK286" s="709" t="str">
        <f>IFERROR(INDEX(Reit!I$8:I$64,MATCH(AL286,Reit!F$8:F$64,0)),"")</f>
        <v/>
      </c>
      <c r="AL286" s="710" t="str">
        <f t="shared" si="29"/>
        <v/>
      </c>
      <c r="AM286" s="652"/>
    </row>
    <row r="287" spans="1:39" hidden="1" x14ac:dyDescent="0.2">
      <c r="D287" s="698"/>
      <c r="E287" s="698"/>
      <c r="F287" s="652"/>
      <c r="G287" s="652"/>
      <c r="H287" s="652"/>
      <c r="I287" s="652"/>
      <c r="J287" s="652"/>
      <c r="K287" s="652"/>
      <c r="L287" s="652"/>
      <c r="M287" s="652"/>
      <c r="N287" s="652"/>
      <c r="O287" s="652"/>
      <c r="P287" s="652"/>
      <c r="Q287" s="652"/>
      <c r="R287" s="652"/>
      <c r="S287" s="652"/>
      <c r="T287" s="652"/>
      <c r="U287" s="652"/>
      <c r="V287" s="652"/>
      <c r="W287" s="652"/>
      <c r="X287" s="652"/>
      <c r="Y287" s="652"/>
      <c r="Z287" s="652"/>
      <c r="AA287" s="652"/>
      <c r="AB287" s="652"/>
      <c r="AC287" s="652"/>
      <c r="AD287" s="652"/>
      <c r="AE287" s="709" t="str">
        <f>IFERROR(INDEX(Reit!I$8:I$64,MATCH(AF287,Reit!F$8:F$64,0)),"")</f>
        <v/>
      </c>
      <c r="AF287" s="710" t="str">
        <f t="shared" si="26"/>
        <v/>
      </c>
      <c r="AG287" s="709" t="str">
        <f>IFERROR(INDEX(Reit!I$8:I$64,MATCH(AH287,Reit!F$8:F$64,0)),"")</f>
        <v/>
      </c>
      <c r="AH287" s="710" t="str">
        <f t="shared" si="27"/>
        <v/>
      </c>
      <c r="AI287" s="709" t="str">
        <f>IFERROR(INDEX(Reit!I$8:I$64,MATCH(AJ287,Reit!F$8:F$64,0)),"")</f>
        <v/>
      </c>
      <c r="AJ287" s="710" t="str">
        <f t="shared" si="28"/>
        <v/>
      </c>
      <c r="AK287" s="709" t="str">
        <f>IFERROR(INDEX(Reit!I$8:I$64,MATCH(AL287,Reit!F$8:F$64,0)),"")</f>
        <v/>
      </c>
      <c r="AL287" s="710" t="str">
        <f t="shared" si="29"/>
        <v/>
      </c>
      <c r="AM287" s="652"/>
    </row>
    <row r="288" spans="1:39" hidden="1" x14ac:dyDescent="0.2">
      <c r="D288" s="702"/>
      <c r="E288" s="702"/>
      <c r="F288" s="652"/>
      <c r="G288" s="652"/>
      <c r="H288" s="652"/>
      <c r="I288" s="652"/>
      <c r="J288" s="652"/>
      <c r="K288" s="652"/>
      <c r="L288" s="652"/>
      <c r="M288" s="652"/>
      <c r="N288" s="652"/>
      <c r="O288" s="652"/>
      <c r="P288" s="652"/>
      <c r="Q288" s="652"/>
      <c r="R288" s="652"/>
      <c r="S288" s="652"/>
      <c r="T288" s="652"/>
      <c r="U288" s="652"/>
      <c r="V288" s="652"/>
      <c r="W288" s="652"/>
      <c r="X288" s="652"/>
      <c r="Y288" s="652"/>
      <c r="Z288" s="652"/>
      <c r="AA288" s="652"/>
      <c r="AB288" s="652"/>
      <c r="AC288" s="652"/>
      <c r="AD288" s="652"/>
      <c r="AE288" s="709" t="str">
        <f>IFERROR(INDEX(Reit!I$8:I$64,MATCH(AF288,Reit!F$8:F$64,0)),"")</f>
        <v/>
      </c>
      <c r="AF288" s="710" t="str">
        <f t="shared" si="26"/>
        <v/>
      </c>
      <c r="AG288" s="709" t="str">
        <f>IFERROR(INDEX(Reit!I$8:I$64,MATCH(AH288,Reit!F$8:F$64,0)),"")</f>
        <v/>
      </c>
      <c r="AH288" s="710" t="str">
        <f t="shared" si="27"/>
        <v/>
      </c>
      <c r="AI288" s="709" t="str">
        <f>IFERROR(INDEX(Reit!I$8:I$64,MATCH(AJ288,Reit!F$8:F$64,0)),"")</f>
        <v/>
      </c>
      <c r="AJ288" s="710" t="str">
        <f t="shared" si="28"/>
        <v/>
      </c>
      <c r="AK288" s="709" t="str">
        <f>IFERROR(INDEX(Reit!I$8:I$64,MATCH(AL288,Reit!F$8:F$64,0)),"")</f>
        <v/>
      </c>
      <c r="AL288" s="710" t="str">
        <f t="shared" si="29"/>
        <v/>
      </c>
      <c r="AM288" s="652"/>
    </row>
    <row r="289" spans="1:39" hidden="1" x14ac:dyDescent="0.2">
      <c r="D289" s="653"/>
      <c r="E289" s="653"/>
      <c r="F289" s="652"/>
      <c r="G289" s="652"/>
      <c r="H289" s="652"/>
      <c r="I289" s="652"/>
      <c r="J289" s="652"/>
      <c r="K289" s="652"/>
      <c r="L289" s="652"/>
      <c r="M289" s="652"/>
      <c r="N289" s="652"/>
      <c r="O289" s="652"/>
      <c r="P289" s="652"/>
      <c r="Q289" s="652"/>
      <c r="R289" s="652"/>
      <c r="S289" s="652"/>
      <c r="T289" s="652"/>
      <c r="U289" s="652"/>
      <c r="V289" s="652"/>
      <c r="W289" s="703"/>
      <c r="X289" s="652"/>
      <c r="Y289" s="652"/>
      <c r="Z289" s="652"/>
      <c r="AA289" s="652"/>
      <c r="AB289" s="652"/>
      <c r="AC289" s="652"/>
      <c r="AD289" s="652"/>
      <c r="AE289" s="709" t="str">
        <f>IFERROR(INDEX(Reit!I$8:I$64,MATCH(AF289,Reit!F$8:F$64,0)),"")</f>
        <v/>
      </c>
      <c r="AF289" s="710" t="str">
        <f t="shared" si="26"/>
        <v/>
      </c>
      <c r="AG289" s="709" t="str">
        <f>IFERROR(INDEX(Reit!I$8:I$64,MATCH(AH289,Reit!F$8:F$64,0)),"")</f>
        <v/>
      </c>
      <c r="AH289" s="710" t="str">
        <f t="shared" si="27"/>
        <v/>
      </c>
      <c r="AI289" s="709" t="str">
        <f>IFERROR(INDEX(Reit!I$8:I$64,MATCH(AJ289,Reit!F$8:F$64,0)),"")</f>
        <v/>
      </c>
      <c r="AJ289" s="710" t="str">
        <f t="shared" si="28"/>
        <v/>
      </c>
      <c r="AK289" s="709" t="str">
        <f>IFERROR(INDEX(Reit!I$8:I$64,MATCH(AL289,Reit!F$8:F$64,0)),"")</f>
        <v/>
      </c>
      <c r="AL289" s="710" t="str">
        <f t="shared" si="29"/>
        <v/>
      </c>
      <c r="AM289" s="652"/>
    </row>
    <row r="290" spans="1:39" hidden="1" x14ac:dyDescent="0.2">
      <c r="D290" s="653"/>
      <c r="E290" s="653"/>
      <c r="F290" s="65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709" t="str">
        <f>IFERROR(INDEX(Reit!I$8:I$64,MATCH(AF290,Reit!F$8:F$64,0)),"")</f>
        <v/>
      </c>
      <c r="AF290" s="710" t="str">
        <f t="shared" si="26"/>
        <v/>
      </c>
      <c r="AG290" s="709" t="str">
        <f>IFERROR(INDEX(Reit!I$8:I$64,MATCH(AH290,Reit!F$8:F$64,0)),"")</f>
        <v/>
      </c>
      <c r="AH290" s="710" t="str">
        <f t="shared" si="27"/>
        <v/>
      </c>
      <c r="AI290" s="709" t="str">
        <f>IFERROR(INDEX(Reit!I$8:I$64,MATCH(AJ290,Reit!F$8:F$64,0)),"")</f>
        <v/>
      </c>
      <c r="AJ290" s="710" t="str">
        <f t="shared" si="28"/>
        <v/>
      </c>
      <c r="AK290" s="709" t="str">
        <f>IFERROR(INDEX(Reit!I$8:I$64,MATCH(AL290,Reit!F$8:F$64,0)),"")</f>
        <v/>
      </c>
      <c r="AL290" s="710" t="str">
        <f t="shared" si="29"/>
        <v/>
      </c>
      <c r="AM290" s="652"/>
    </row>
    <row r="291" spans="1:39" hidden="1" x14ac:dyDescent="0.2">
      <c r="D291" s="653"/>
      <c r="E291" s="653"/>
      <c r="F291" s="652"/>
      <c r="G291" s="652"/>
      <c r="H291" s="652"/>
      <c r="I291" s="652"/>
      <c r="J291" s="652"/>
      <c r="K291" s="652"/>
      <c r="L291" s="652"/>
      <c r="M291" s="652"/>
      <c r="N291" s="652"/>
      <c r="O291" s="652"/>
      <c r="P291" s="652"/>
      <c r="Q291" s="652"/>
      <c r="R291" s="652"/>
      <c r="S291" s="652"/>
      <c r="T291" s="652"/>
      <c r="U291" s="652"/>
      <c r="V291" s="652"/>
      <c r="W291" s="652"/>
      <c r="X291" s="652"/>
      <c r="Y291" s="652"/>
      <c r="Z291" s="652"/>
      <c r="AA291" s="652"/>
      <c r="AB291" s="652"/>
      <c r="AC291" s="652"/>
      <c r="AD291" s="652"/>
      <c r="AE291" s="709" t="str">
        <f>IFERROR(INDEX(Reit!I$8:I$64,MATCH(AF291,Reit!F$8:F$64,0)),"")</f>
        <v/>
      </c>
      <c r="AF291" s="710" t="str">
        <f t="shared" si="26"/>
        <v/>
      </c>
      <c r="AG291" s="709" t="str">
        <f>IFERROR(INDEX(Reit!I$8:I$64,MATCH(AH291,Reit!F$8:F$64,0)),"")</f>
        <v/>
      </c>
      <c r="AH291" s="710" t="str">
        <f t="shared" si="27"/>
        <v/>
      </c>
      <c r="AI291" s="709" t="str">
        <f>IFERROR(INDEX(Reit!I$8:I$64,MATCH(AJ291,Reit!F$8:F$64,0)),"")</f>
        <v/>
      </c>
      <c r="AJ291" s="710" t="str">
        <f t="shared" si="28"/>
        <v/>
      </c>
      <c r="AK291" s="709" t="str">
        <f>IFERROR(INDEX(Reit!I$8:I$64,MATCH(AL291,Reit!F$8:F$64,0)),"")</f>
        <v/>
      </c>
      <c r="AL291" s="710" t="str">
        <f t="shared" si="29"/>
        <v/>
      </c>
      <c r="AM291" s="652"/>
    </row>
    <row r="292" spans="1:39" hidden="1" x14ac:dyDescent="0.2">
      <c r="D292" s="653"/>
      <c r="E292" s="653"/>
      <c r="F292" s="65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709" t="str">
        <f>IFERROR(INDEX(Reit!I$8:I$64,MATCH(AF292,Reit!F$8:F$64,0)),"")</f>
        <v/>
      </c>
      <c r="AF292" s="710" t="str">
        <f t="shared" si="26"/>
        <v/>
      </c>
      <c r="AG292" s="709" t="str">
        <f>IFERROR(INDEX(Reit!I$8:I$64,MATCH(AH292,Reit!F$8:F$64,0)),"")</f>
        <v/>
      </c>
      <c r="AH292" s="710" t="str">
        <f t="shared" si="27"/>
        <v/>
      </c>
      <c r="AI292" s="709" t="str">
        <f>IFERROR(INDEX(Reit!I$8:I$64,MATCH(AJ292,Reit!F$8:F$64,0)),"")</f>
        <v/>
      </c>
      <c r="AJ292" s="710" t="str">
        <f t="shared" si="28"/>
        <v/>
      </c>
      <c r="AK292" s="709" t="str">
        <f>IFERROR(INDEX(Reit!I$8:I$64,MATCH(AL292,Reit!F$8:F$64,0)),"")</f>
        <v/>
      </c>
      <c r="AL292" s="710" t="str">
        <f t="shared" si="29"/>
        <v/>
      </c>
      <c r="AM292" s="652"/>
    </row>
    <row r="293" spans="1:39" hidden="1" x14ac:dyDescent="0.2">
      <c r="D293" s="653"/>
      <c r="E293" s="653"/>
      <c r="F293" s="65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709" t="str">
        <f>IFERROR(INDEX(Reit!I$8:I$64,MATCH(AF293,Reit!F$8:F$64,0)),"")</f>
        <v/>
      </c>
      <c r="AF293" s="710" t="str">
        <f t="shared" si="26"/>
        <v/>
      </c>
      <c r="AG293" s="709" t="str">
        <f>IFERROR(INDEX(Reit!I$8:I$64,MATCH(AH293,Reit!F$8:F$64,0)),"")</f>
        <v/>
      </c>
      <c r="AH293" s="710" t="str">
        <f t="shared" si="27"/>
        <v/>
      </c>
      <c r="AI293" s="709" t="str">
        <f>IFERROR(INDEX(Reit!I$8:I$64,MATCH(AJ293,Reit!F$8:F$64,0)),"")</f>
        <v/>
      </c>
      <c r="AJ293" s="710" t="str">
        <f t="shared" si="28"/>
        <v/>
      </c>
      <c r="AK293" s="709" t="str">
        <f>IFERROR(INDEX(Reit!I$8:I$64,MATCH(AL293,Reit!F$8:F$64,0)),"")</f>
        <v/>
      </c>
      <c r="AL293" s="710" t="str">
        <f t="shared" si="29"/>
        <v/>
      </c>
      <c r="AM293" s="652"/>
    </row>
    <row r="294" spans="1:39" hidden="1" x14ac:dyDescent="0.2">
      <c r="D294" s="653"/>
      <c r="E294" s="653"/>
      <c r="F294" s="652"/>
      <c r="G294" s="652"/>
      <c r="H294" s="652"/>
      <c r="I294" s="652"/>
      <c r="J294" s="652"/>
      <c r="K294" s="652"/>
      <c r="L294" s="652"/>
      <c r="M294" s="652"/>
      <c r="N294" s="652"/>
      <c r="O294" s="652"/>
      <c r="P294" s="652"/>
      <c r="Q294" s="652"/>
      <c r="R294" s="652"/>
      <c r="S294" s="652"/>
      <c r="T294" s="652"/>
      <c r="U294" s="652"/>
      <c r="V294" s="652"/>
      <c r="W294" s="703"/>
      <c r="X294" s="652"/>
      <c r="Y294" s="652"/>
      <c r="Z294" s="652"/>
      <c r="AA294" s="652"/>
      <c r="AB294" s="652"/>
      <c r="AC294" s="652"/>
      <c r="AD294" s="652"/>
      <c r="AE294" s="709" t="str">
        <f>IFERROR(INDEX(Reit!I$8:I$64,MATCH(AF294,Reit!F$8:F$64,0)),"")</f>
        <v/>
      </c>
      <c r="AF294" s="710" t="str">
        <f t="shared" si="26"/>
        <v/>
      </c>
      <c r="AG294" s="709" t="str">
        <f>IFERROR(INDEX(Reit!I$8:I$64,MATCH(AH294,Reit!F$8:F$64,0)),"")</f>
        <v/>
      </c>
      <c r="AH294" s="710" t="str">
        <f t="shared" si="27"/>
        <v/>
      </c>
      <c r="AI294" s="709" t="str">
        <f>IFERROR(INDEX(Reit!I$8:I$64,MATCH(AJ294,Reit!F$8:F$64,0)),"")</f>
        <v/>
      </c>
      <c r="AJ294" s="710" t="str">
        <f t="shared" si="28"/>
        <v/>
      </c>
      <c r="AK294" s="709" t="str">
        <f>IFERROR(INDEX(Reit!I$8:I$64,MATCH(AL294,Reit!F$8:F$64,0)),"")</f>
        <v/>
      </c>
      <c r="AL294" s="710" t="str">
        <f t="shared" si="29"/>
        <v/>
      </c>
      <c r="AM294" s="652"/>
    </row>
    <row r="295" spans="1:39" hidden="1" x14ac:dyDescent="0.2">
      <c r="D295" s="653"/>
      <c r="E295" s="653"/>
      <c r="F295" s="652"/>
      <c r="G295" s="652"/>
      <c r="H295" s="652"/>
      <c r="I295" s="65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709" t="str">
        <f>IFERROR(INDEX(Reit!I$8:I$64,MATCH(AF295,Reit!F$8:F$64,0)),"")</f>
        <v/>
      </c>
      <c r="AF295" s="710" t="str">
        <f t="shared" si="26"/>
        <v/>
      </c>
      <c r="AG295" s="709" t="str">
        <f>IFERROR(INDEX(Reit!I$8:I$64,MATCH(AH295,Reit!F$8:F$64,0)),"")</f>
        <v/>
      </c>
      <c r="AH295" s="710" t="str">
        <f t="shared" si="27"/>
        <v/>
      </c>
      <c r="AI295" s="709" t="str">
        <f>IFERROR(INDEX(Reit!I$8:I$64,MATCH(AJ295,Reit!F$8:F$64,0)),"")</f>
        <v/>
      </c>
      <c r="AJ295" s="710" t="str">
        <f t="shared" si="28"/>
        <v/>
      </c>
      <c r="AK295" s="709" t="str">
        <f>IFERROR(INDEX(Reit!I$8:I$64,MATCH(AL295,Reit!F$8:F$64,0)),"")</f>
        <v/>
      </c>
      <c r="AL295" s="710" t="str">
        <f t="shared" si="29"/>
        <v/>
      </c>
      <c r="AM295" s="652"/>
    </row>
    <row r="296" spans="1:39" hidden="1" x14ac:dyDescent="0.2">
      <c r="D296" s="653"/>
      <c r="E296" s="653"/>
      <c r="F296" s="652"/>
      <c r="G296" s="652"/>
      <c r="H296" s="652"/>
      <c r="I296" s="652"/>
      <c r="J296" s="652"/>
      <c r="K296" s="652"/>
      <c r="L296" s="652"/>
      <c r="M296" s="652"/>
      <c r="N296" s="652"/>
      <c r="O296" s="652"/>
      <c r="P296" s="652"/>
      <c r="Q296" s="652"/>
      <c r="R296" s="652"/>
      <c r="S296" s="652"/>
      <c r="T296" s="652"/>
      <c r="U296" s="652"/>
      <c r="V296" s="652"/>
      <c r="W296" s="652"/>
      <c r="X296" s="652"/>
      <c r="Y296" s="652"/>
      <c r="Z296" s="652"/>
      <c r="AA296" s="652"/>
      <c r="AB296" s="652"/>
      <c r="AC296" s="652"/>
      <c r="AD296" s="652"/>
      <c r="AE296" s="709" t="str">
        <f>IFERROR(INDEX(Reit!I$8:I$64,MATCH(AF296,Reit!F$8:F$64,0)),"")</f>
        <v/>
      </c>
      <c r="AF296" s="710" t="str">
        <f t="shared" si="26"/>
        <v/>
      </c>
      <c r="AG296" s="709" t="str">
        <f>IFERROR(INDEX(Reit!I$8:I$64,MATCH(AH296,Reit!F$8:F$64,0)),"")</f>
        <v/>
      </c>
      <c r="AH296" s="710" t="str">
        <f t="shared" si="27"/>
        <v/>
      </c>
      <c r="AI296" s="709" t="str">
        <f>IFERROR(INDEX(Reit!I$8:I$64,MATCH(AJ296,Reit!F$8:F$64,0)),"")</f>
        <v/>
      </c>
      <c r="AJ296" s="710" t="str">
        <f t="shared" si="28"/>
        <v/>
      </c>
      <c r="AK296" s="709" t="str">
        <f>IFERROR(INDEX(Reit!I$8:I$64,MATCH(AL296,Reit!F$8:F$64,0)),"")</f>
        <v/>
      </c>
      <c r="AL296" s="710" t="str">
        <f t="shared" si="29"/>
        <v/>
      </c>
      <c r="AM296" s="652"/>
    </row>
    <row r="297" spans="1:39" hidden="1" x14ac:dyDescent="0.2">
      <c r="D297" s="653"/>
      <c r="E297" s="653"/>
      <c r="F297" s="65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709" t="str">
        <f>IFERROR(INDEX(Reit!I$8:I$64,MATCH(AF297,Reit!F$8:F$64,0)),"")</f>
        <v/>
      </c>
      <c r="AF297" s="710" t="str">
        <f t="shared" si="26"/>
        <v/>
      </c>
      <c r="AG297" s="709" t="str">
        <f>IFERROR(INDEX(Reit!I$8:I$64,MATCH(AH297,Reit!F$8:F$64,0)),"")</f>
        <v/>
      </c>
      <c r="AH297" s="710" t="str">
        <f t="shared" si="27"/>
        <v/>
      </c>
      <c r="AI297" s="709" t="str">
        <f>IFERROR(INDEX(Reit!I$8:I$64,MATCH(AJ297,Reit!F$8:F$64,0)),"")</f>
        <v/>
      </c>
      <c r="AJ297" s="710" t="str">
        <f t="shared" si="28"/>
        <v/>
      </c>
      <c r="AK297" s="709" t="str">
        <f>IFERROR(INDEX(Reit!I$8:I$64,MATCH(AL297,Reit!F$8:F$64,0)),"")</f>
        <v/>
      </c>
      <c r="AL297" s="710" t="str">
        <f t="shared" si="29"/>
        <v/>
      </c>
      <c r="AM297" s="652"/>
    </row>
    <row r="298" spans="1:39" x14ac:dyDescent="0.2">
      <c r="D298" s="652"/>
      <c r="E298" s="652"/>
      <c r="F298" s="652"/>
      <c r="G298" s="652"/>
      <c r="H298" s="652"/>
      <c r="I298" s="652"/>
      <c r="J298" s="652"/>
      <c r="K298" s="652"/>
      <c r="L298" s="652"/>
      <c r="M298" s="652"/>
      <c r="N298" s="652"/>
      <c r="O298" s="652"/>
      <c r="P298" s="652"/>
      <c r="Q298" s="652"/>
      <c r="R298" s="652"/>
      <c r="S298" s="652"/>
      <c r="T298" s="652"/>
      <c r="U298" s="652"/>
      <c r="V298" s="652"/>
      <c r="W298" s="652"/>
      <c r="X298" s="652"/>
      <c r="Y298" s="652"/>
      <c r="Z298" s="652"/>
      <c r="AA298" s="652"/>
      <c r="AB298" s="652"/>
      <c r="AC298" s="652"/>
      <c r="AD298" s="652"/>
      <c r="AE298" s="652"/>
      <c r="AF298" s="652"/>
      <c r="AG298" s="652"/>
      <c r="AH298" s="652"/>
      <c r="AI298" s="652"/>
      <c r="AJ298" s="652"/>
      <c r="AK298" s="652"/>
      <c r="AL298" s="652"/>
      <c r="AM298" s="652"/>
    </row>
    <row r="299" spans="1:39" x14ac:dyDescent="0.2">
      <c r="A299" s="652"/>
      <c r="B299" s="652"/>
      <c r="C299" s="697" t="s">
        <v>182</v>
      </c>
      <c r="D299" s="652"/>
      <c r="E299" s="652"/>
      <c r="F299" s="652"/>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c r="AH299" s="652"/>
      <c r="AI299" s="652"/>
      <c r="AJ299" s="652"/>
      <c r="AK299" s="652"/>
      <c r="AL299" s="652"/>
      <c r="AM299" s="652"/>
    </row>
    <row r="300" spans="1:39" x14ac:dyDescent="0.2">
      <c r="A300" s="699">
        <v>1</v>
      </c>
      <c r="B300" s="700" t="str">
        <f t="shared" ref="B300:B311" si="30">IFERROR(INDEX(B$1:B$88,MATCH(A300,A$1:A$88,0)),"")</f>
        <v>Oleg Rõndenkov, Toomas Tedrekull</v>
      </c>
      <c r="C300" s="711">
        <v>40</v>
      </c>
    </row>
    <row r="301" spans="1:39" x14ac:dyDescent="0.2">
      <c r="A301" s="699">
        <v>2</v>
      </c>
      <c r="B301" s="700" t="str">
        <f t="shared" si="30"/>
        <v>Henri Mitt, Urmas Randlaine</v>
      </c>
      <c r="C301" s="711">
        <v>34</v>
      </c>
    </row>
    <row r="302" spans="1:39" x14ac:dyDescent="0.2">
      <c r="A302" s="699">
        <v>3</v>
      </c>
      <c r="B302" s="700" t="str">
        <f t="shared" si="30"/>
        <v>Jaan Sepp, Oskar Sepp</v>
      </c>
      <c r="C302" s="711">
        <v>30</v>
      </c>
    </row>
    <row r="303" spans="1:39" x14ac:dyDescent="0.2">
      <c r="A303" s="699">
        <v>4</v>
      </c>
      <c r="B303" s="700" t="str">
        <f t="shared" si="30"/>
        <v>Andres Veski, Svetlana Veski</v>
      </c>
      <c r="C303" s="711">
        <v>26</v>
      </c>
    </row>
    <row r="304" spans="1:39" x14ac:dyDescent="0.2">
      <c r="A304" s="699">
        <v>5</v>
      </c>
      <c r="B304" s="700" t="str">
        <f t="shared" si="30"/>
        <v>Argo Sepp, Mait Metsla</v>
      </c>
      <c r="C304" s="711">
        <v>24</v>
      </c>
    </row>
    <row r="305" spans="1:3" x14ac:dyDescent="0.2">
      <c r="A305" s="699">
        <v>6</v>
      </c>
      <c r="B305" s="700" t="str">
        <f t="shared" si="30"/>
        <v>Elmo Lageda, Tõnu Piik</v>
      </c>
      <c r="C305" s="711">
        <v>22</v>
      </c>
    </row>
    <row r="306" spans="1:3" x14ac:dyDescent="0.2">
      <c r="A306" s="699">
        <v>7</v>
      </c>
      <c r="B306" s="700" t="str">
        <f t="shared" si="30"/>
        <v>Ivar Viljaste, Sirje Viljaste</v>
      </c>
      <c r="C306" s="711">
        <v>20</v>
      </c>
    </row>
    <row r="307" spans="1:3" x14ac:dyDescent="0.2">
      <c r="A307" s="699">
        <v>8</v>
      </c>
      <c r="B307" s="700" t="str">
        <f t="shared" si="30"/>
        <v>Andrei Grintšak, Boriss Klubov</v>
      </c>
      <c r="C307" s="711">
        <v>18</v>
      </c>
    </row>
    <row r="308" spans="1:3" x14ac:dyDescent="0.2">
      <c r="A308" s="699">
        <v>9</v>
      </c>
      <c r="B308" s="700" t="str">
        <f t="shared" si="30"/>
        <v>Aarne Välja, Janek Tarto</v>
      </c>
      <c r="C308" s="711">
        <v>16</v>
      </c>
    </row>
    <row r="309" spans="1:3" x14ac:dyDescent="0.2">
      <c r="A309" s="699">
        <v>10</v>
      </c>
      <c r="B309" s="700" t="str">
        <f t="shared" si="30"/>
        <v>Kenneth Muusikus, Sandra Laura Nõmmeloo</v>
      </c>
      <c r="C309" s="701">
        <v>14</v>
      </c>
    </row>
    <row r="310" spans="1:3" x14ac:dyDescent="0.2">
      <c r="A310" s="699">
        <v>11</v>
      </c>
      <c r="B310" s="700" t="str">
        <f t="shared" si="30"/>
        <v>Illar Tõnurist, Jaan Saar</v>
      </c>
      <c r="C310" s="701">
        <v>12</v>
      </c>
    </row>
    <row r="311" spans="1:3" x14ac:dyDescent="0.2">
      <c r="A311" s="699">
        <v>12</v>
      </c>
      <c r="B311" s="700" t="str">
        <f t="shared" si="30"/>
        <v>Enn Tokman, Johannes Neiland, Kaspar Mänd</v>
      </c>
      <c r="C311" s="701">
        <v>10</v>
      </c>
    </row>
  </sheetData>
  <conditionalFormatting sqref="C8:C19">
    <cfRule type="expression" dxfId="1246" priority="17">
      <formula>IF($C8&gt;$E8,TRUE)</formula>
    </cfRule>
  </conditionalFormatting>
  <conditionalFormatting sqref="E8:E19">
    <cfRule type="expression" dxfId="1245" priority="18">
      <formula>IF($C8&lt;$E8,TRUE)</formula>
    </cfRule>
  </conditionalFormatting>
  <conditionalFormatting sqref="K8:K19">
    <cfRule type="expression" dxfId="1244" priority="25">
      <formula>IF($K8&gt;$M8,TRUE)</formula>
    </cfRule>
  </conditionalFormatting>
  <conditionalFormatting sqref="M8:M19">
    <cfRule type="expression" dxfId="1243" priority="26">
      <formula>IF($K8&lt;$M8,TRUE)</formula>
    </cfRule>
  </conditionalFormatting>
  <conditionalFormatting sqref="O8:O19">
    <cfRule type="expression" dxfId="1242" priority="29">
      <formula>IF($O8&gt;$Q8,TRUE)</formula>
    </cfRule>
  </conditionalFormatting>
  <conditionalFormatting sqref="Q8:Q19">
    <cfRule type="expression" dxfId="1241" priority="30">
      <formula>IF($O8&lt;$Q8,TRUE)</formula>
    </cfRule>
  </conditionalFormatting>
  <conditionalFormatting sqref="S8:S19">
    <cfRule type="expression" dxfId="1240" priority="33">
      <formula>IF($S8&gt;$U8,TRUE)</formula>
    </cfRule>
  </conditionalFormatting>
  <conditionalFormatting sqref="U8:U19">
    <cfRule type="expression" dxfId="1239" priority="34">
      <formula>IF($S8&lt;$U8,TRUE)</formula>
    </cfRule>
  </conditionalFormatting>
  <conditionalFormatting sqref="G8:G19">
    <cfRule type="expression" dxfId="1238" priority="21">
      <formula>IF($G8&gt;$I8,TRUE)</formula>
    </cfRule>
  </conditionalFormatting>
  <conditionalFormatting sqref="I8:I19">
    <cfRule type="expression" dxfId="1237" priority="22">
      <formula>IF($G8&lt;$I8,TRUE)</formula>
    </cfRule>
  </conditionalFormatting>
  <conditionalFormatting sqref="F8:F19">
    <cfRule type="containsText" dxfId="1236" priority="8" operator="containsText" text="vaba voor">
      <formula>NOT(ISERROR(SEARCH("vaba voor",F8)))</formula>
    </cfRule>
  </conditionalFormatting>
  <conditionalFormatting sqref="N8:N19">
    <cfRule type="containsText" dxfId="1235" priority="6" operator="containsText" text="vaba voor">
      <formula>NOT(ISERROR(SEARCH("vaba voor",N8)))</formula>
    </cfRule>
  </conditionalFormatting>
  <conditionalFormatting sqref="R8:R19">
    <cfRule type="containsText" dxfId="1234" priority="9" operator="containsText" text="vaba voor">
      <formula>NOT(ISERROR(SEARCH("vaba voor",R8)))</formula>
    </cfRule>
  </conditionalFormatting>
  <conditionalFormatting sqref="V8:V19">
    <cfRule type="containsText" dxfId="1233" priority="5" operator="containsText" text="vaba voor">
      <formula>NOT(ISERROR(SEARCH("vaba voor",V8)))</formula>
    </cfRule>
  </conditionalFormatting>
  <conditionalFormatting sqref="J8:J19">
    <cfRule type="containsText" dxfId="1232" priority="7" operator="containsText" text="vaba voor">
      <formula>NOT(ISERROR(SEARCH("vaba voor",J8)))</formula>
    </cfRule>
  </conditionalFormatting>
  <conditionalFormatting sqref="C8:F19">
    <cfRule type="expression" dxfId="1231" priority="13">
      <formula>IF(AND(ISNUMBER($C8),$C8=$E8),TRUE)</formula>
    </cfRule>
    <cfRule type="expression" dxfId="1230" priority="15">
      <formula>IF($C8&gt;$E8,TRUE)</formula>
    </cfRule>
    <cfRule type="expression" dxfId="1229" priority="16">
      <formula>IF($C8&lt;$E8,TRUE)</formula>
    </cfRule>
  </conditionalFormatting>
  <conditionalFormatting sqref="G8:J19">
    <cfRule type="expression" dxfId="1228" priority="14">
      <formula>IF(AND(ISNUMBER($G8),$G8=$I8),TRUE)</formula>
    </cfRule>
    <cfRule type="expression" dxfId="1227" priority="19">
      <formula>IF($G8&gt;$I8,TRUE)</formula>
    </cfRule>
    <cfRule type="expression" dxfId="1226" priority="20">
      <formula>IF($G8&lt;$I8,TRUE)</formula>
    </cfRule>
  </conditionalFormatting>
  <conditionalFormatting sqref="K8:N19">
    <cfRule type="expression" dxfId="1225" priority="12">
      <formula>IF(AND(ISNUMBER($K8),$K8=$M8),TRUE)</formula>
    </cfRule>
    <cfRule type="expression" dxfId="1224" priority="23">
      <formula>IF($K8&gt;$M8,TRUE)</formula>
    </cfRule>
    <cfRule type="expression" dxfId="1223" priority="24">
      <formula>IF($K8&lt;$M8,TRUE)</formula>
    </cfRule>
  </conditionalFormatting>
  <conditionalFormatting sqref="O8:R19">
    <cfRule type="expression" dxfId="1222" priority="11">
      <formula>IF(AND(ISNUMBER($O8),$O8=$Q8),TRUE)</formula>
    </cfRule>
    <cfRule type="expression" dxfId="1221" priority="27">
      <formula>IF($O8&gt;$Q8,TRUE)</formula>
    </cfRule>
    <cfRule type="expression" dxfId="1220" priority="28">
      <formula>IF($O8&lt;$Q8,TRUE)</formula>
    </cfRule>
  </conditionalFormatting>
  <conditionalFormatting sqref="S8:V19">
    <cfRule type="expression" dxfId="1219" priority="10">
      <formula>IF(AND(ISNUMBER($S8),$S8=$U8),TRUE)</formula>
    </cfRule>
    <cfRule type="expression" dxfId="1218" priority="31">
      <formula>IF($S8&gt;$U8,TRUE)</formula>
    </cfRule>
    <cfRule type="expression" dxfId="1217" priority="32">
      <formula>IF($S8&lt;$U8,TRUE)</formula>
    </cfRule>
  </conditionalFormatting>
  <conditionalFormatting sqref="C8:C19 G8:G19 K8:K19 O8:O19 S8:S19">
    <cfRule type="expression" dxfId="1216" priority="4">
      <formula>AND(C8=0,E8=13)</formula>
    </cfRule>
  </conditionalFormatting>
  <conditionalFormatting sqref="AF8:AF297 AJ8:AJ297 AL8:AL297">
    <cfRule type="expression" dxfId="1215" priority="1">
      <formula>AND(AE8="",COUNTIF(AF8,"*,*")=0)</formula>
    </cfRule>
  </conditionalFormatting>
  <conditionalFormatting sqref="AH8:AH297">
    <cfRule type="expression" dxfId="1214" priority="2">
      <formula>AND(AG8="",FIND(",",AH8))</formula>
    </cfRule>
    <cfRule type="expression" dxfId="1213" priority="3">
      <formula>AND(AG8="",COUNTIF(AH8,"*,*")=0)</formula>
    </cfRule>
  </conditionalFormatting>
  <conditionalFormatting sqref="A8:A19">
    <cfRule type="duplicateValues" dxfId="1212" priority="208"/>
  </conditionalFormatting>
  <conditionalFormatting sqref="A300:A311">
    <cfRule type="duplicateValues" dxfId="1211" priority="209"/>
  </conditionalFormatting>
  <conditionalFormatting sqref="B300:B311">
    <cfRule type="expression" dxfId="1210" priority="215">
      <formula>A300=3</formula>
    </cfRule>
    <cfRule type="expression" dxfId="1209" priority="216">
      <formula>A300=2</formula>
    </cfRule>
    <cfRule type="expression" dxfId="1208" priority="217">
      <formula>A300=1</formula>
    </cfRule>
    <cfRule type="containsBlanks" dxfId="1207" priority="218">
      <formula>LEN(TRIM(B300))=0</formula>
    </cfRule>
    <cfRule type="duplicateValues" dxfId="1206" priority="219"/>
  </conditionalFormatting>
  <pageMargins left="0.59055118110236227" right="0.39370078740157483" top="0.78740157480314965" bottom="0.39370078740157483" header="0.59055118110236227" footer="0"/>
  <pageSetup paperSize="9" scale="98" fitToHeight="0" orientation="landscape" r:id="rId1"/>
  <headerFooter>
    <oddHeader>&amp;R&amp;9Page &amp;P of &amp;N</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F319"/>
  <sheetViews>
    <sheetView showGridLines="0" showRowColHeaders="0" zoomScaleNormal="100" workbookViewId="0">
      <pane ySplit="2" topLeftCell="A3" activePane="bottomLeft" state="frozen"/>
      <selection pane="bottomLeft" activeCell="L1" sqref="L1"/>
    </sheetView>
  </sheetViews>
  <sheetFormatPr defaultRowHeight="12.75" x14ac:dyDescent="0.2"/>
  <cols>
    <col min="1" max="1" width="3.28515625" customWidth="1"/>
    <col min="2" max="2" width="18.28515625" customWidth="1"/>
    <col min="3" max="9" width="6.7109375" customWidth="1"/>
    <col min="10" max="11" width="4.7109375" customWidth="1"/>
    <col min="12" max="12" width="5" customWidth="1"/>
    <col min="13" max="13" width="5" hidden="1" customWidth="1"/>
    <col min="14" max="14" width="5.5703125" hidden="1" customWidth="1"/>
    <col min="15" max="15" width="5.5703125" customWidth="1"/>
    <col min="16" max="16" width="4.7109375" hidden="1" customWidth="1"/>
    <col min="17" max="17" width="2.28515625" hidden="1" customWidth="1"/>
    <col min="18" max="18" width="11" hidden="1" customWidth="1"/>
    <col min="19" max="19" width="11.5703125" hidden="1" customWidth="1"/>
    <col min="20" max="20" width="5.28515625" hidden="1" customWidth="1"/>
    <col min="29" max="29" width="9.140625" customWidth="1"/>
    <col min="30" max="30" width="9.140625" hidden="1" customWidth="1"/>
    <col min="31" max="31" width="18.28515625" hidden="1" customWidth="1"/>
    <col min="32" max="32" width="9.140625" hidden="1" customWidth="1"/>
  </cols>
  <sheetData>
    <row r="1" spans="1:32" x14ac:dyDescent="0.2">
      <c r="A1" s="742" t="str">
        <f>UPPER((Kalend!E19)&amp;" - "&amp;(Kalend!C19)&amp;" - "&amp;(Kalend!D19))</f>
        <v>5 - K-JÄRVE 18. KV 3. ETAPP - ÜKSIK</v>
      </c>
      <c r="G1" s="410" t="str">
        <f>HYPERLINK("#Kalend!I1","Kalender")</f>
        <v>Kalender</v>
      </c>
      <c r="H1" s="410"/>
      <c r="I1" s="654" t="str">
        <f>HYPERLINK("#V!AB1","Reiting")</f>
        <v>Reiting</v>
      </c>
      <c r="J1" s="655"/>
      <c r="L1" s="656"/>
      <c r="M1" s="892"/>
      <c r="N1" s="892"/>
      <c r="O1" s="893"/>
      <c r="P1" s="836" t="s">
        <v>181</v>
      </c>
      <c r="Q1" s="892"/>
      <c r="R1" s="892"/>
      <c r="S1" s="892"/>
      <c r="T1" s="892"/>
      <c r="AD1" s="417" t="s">
        <v>181</v>
      </c>
      <c r="AE1" s="822"/>
      <c r="AF1" s="822"/>
    </row>
    <row r="2" spans="1:32" x14ac:dyDescent="0.2">
      <c r="A2" s="659" t="str">
        <f>"Toimumisaeg: "&amp;(Kalend!A19)&amp;" kell "&amp;(Kalend!B19)</f>
        <v>Toimumisaeg: N, 13.06.2019 kell 18:00</v>
      </c>
      <c r="AD2" s="659"/>
      <c r="AE2" s="659"/>
      <c r="AF2" s="659"/>
    </row>
    <row r="3" spans="1:32" x14ac:dyDescent="0.2">
      <c r="A3" s="659" t="str">
        <f>"Toimumiskoht: "&amp;(Kalend!F19)</f>
        <v>Toimumiskoht: K-Järve spordihoone</v>
      </c>
      <c r="AD3" s="823" t="s">
        <v>362</v>
      </c>
      <c r="AF3" s="659"/>
    </row>
    <row r="4" spans="1:32" x14ac:dyDescent="0.2">
      <c r="A4" s="659" t="str">
        <f>"Korraldaja: "&amp;(Kalend!G19)</f>
        <v>Korraldaja: Ivar Viljaste</v>
      </c>
      <c r="AD4" s="824" t="s">
        <v>479</v>
      </c>
      <c r="AE4" s="825"/>
      <c r="AF4" s="825"/>
    </row>
    <row r="5" spans="1:32" x14ac:dyDescent="0.2">
      <c r="R5" s="894" t="s">
        <v>517</v>
      </c>
      <c r="AD5" s="824" t="s">
        <v>364</v>
      </c>
      <c r="AE5" s="826" t="s">
        <v>208</v>
      </c>
      <c r="AF5" s="826"/>
    </row>
    <row r="6" spans="1:32" x14ac:dyDescent="0.2">
      <c r="A6" s="837" t="s">
        <v>331</v>
      </c>
      <c r="B6" s="838"/>
      <c r="C6" s="839">
        <v>1</v>
      </c>
      <c r="D6" s="839">
        <v>2</v>
      </c>
      <c r="E6" s="839">
        <v>3</v>
      </c>
      <c r="F6" s="839">
        <v>4</v>
      </c>
      <c r="G6" s="839">
        <v>5</v>
      </c>
      <c r="H6" s="839" t="s">
        <v>482</v>
      </c>
      <c r="I6" s="840" t="s">
        <v>454</v>
      </c>
      <c r="J6" s="933" t="s">
        <v>483</v>
      </c>
      <c r="K6" s="934" t="s">
        <v>484</v>
      </c>
      <c r="L6" s="935" t="s">
        <v>485</v>
      </c>
      <c r="M6" s="935" t="s">
        <v>486</v>
      </c>
      <c r="N6" s="936" t="s">
        <v>533</v>
      </c>
      <c r="O6" s="936" t="s">
        <v>533</v>
      </c>
      <c r="P6" s="895" t="s">
        <v>488</v>
      </c>
      <c r="Q6" s="937" t="s">
        <v>312</v>
      </c>
      <c r="R6" s="937" t="b">
        <f>OR(AND(COUNTA(B7:B11)=3,COUNTA(C7:G11)=6),AND(COUNTA(B7:B11)=4,COUNTA(C7:G11)=12),AND(COUNTA(B7:B11)=5,COUNTA(C7:G11)=20))</f>
        <v>1</v>
      </c>
      <c r="S6" s="938" t="s">
        <v>489</v>
      </c>
      <c r="T6" s="939" t="s">
        <v>490</v>
      </c>
      <c r="U6" s="880"/>
      <c r="AD6" s="824" t="s">
        <v>376</v>
      </c>
      <c r="AE6" s="825"/>
      <c r="AF6" s="825"/>
    </row>
    <row r="7" spans="1:32" x14ac:dyDescent="0.2">
      <c r="A7" s="837">
        <v>1</v>
      </c>
      <c r="B7" s="849" t="s">
        <v>221</v>
      </c>
      <c r="C7" s="850"/>
      <c r="D7" s="852">
        <v>13</v>
      </c>
      <c r="E7" s="852">
        <v>13</v>
      </c>
      <c r="F7" s="852">
        <v>13</v>
      </c>
      <c r="G7" s="852">
        <v>13</v>
      </c>
      <c r="H7" s="853" t="str">
        <f>(IF(D7-C8&gt;0,1)+IF(E7-C9&gt;0,1)+IF(F7-C10&gt;0,1)+IF(G7-C11&gt;0,1))&amp;"-"&amp;(IF(D7-C8&lt;0,1)+IF(E7-C9&lt;0,1)+IF(F7-C10&lt;0,1)+IF(G7-C11&lt;0,1))</f>
        <v>4-0</v>
      </c>
      <c r="I7" s="852" t="str">
        <f>IF(AND(B7&lt;&gt;"",R$6=TRUE),A$6&amp;RANK(S7,S$7:S$11,0)," ")</f>
        <v>A1</v>
      </c>
      <c r="J7" s="854">
        <f>IF(AND(Q7=1,Q8=1,D7&gt;C8),1)+IF(AND(Q7=1,Q9=1,E7&gt;C9),1)+IF(AND(Q7=1,Q10=1,F7&gt;C10),1)+IF(AND(Q7=1,Q11=1,G7&gt;C11),1)+IF(AND(Q7=2,Q8=2,D7&gt;C8),1)+IF(AND(Q7=2,Q9=2,E7&gt;C9),1)+IF(AND(Q7=2,Q10=2,F7&gt;C10),1)+IF(AND(Q7=2,Q11=2,G7&gt;C11),1)+IF(AND(Q7=3,Q8=3,D7&gt;C8),1)+IF(AND(Q7=3,Q9=3,E7&gt;C9),1)+IF(AND(Q7=3,Q10=3,F7&gt;C10),1)+IF(AND(Q7=3,Q11=3,G7&gt;C11),1)</f>
        <v>0</v>
      </c>
      <c r="K7" s="855">
        <f>SUM(AND(T7=T8,D7&gt;C8),AND(T7=T9,E7&gt;C9),AND(T7=T10,F7&gt;C10),AND(T7=T11,G7&gt;C11))</f>
        <v>0</v>
      </c>
      <c r="L7" s="856">
        <f>IF(AND(Q7=1,Q8=1),D7-C8)+IF(AND(Q7=1,Q9=1),E7-C9)+IF(AND(Q7=1,Q10=1),F7-C10)+IF(AND(Q7=1,Q11=1),G7-C11)+IF(AND(Q7=2,Q8=2),D7-C8)+IF(AND(Q7=2,Q9=2),E7-C9)+IF(AND(Q7=2,Q10=2),F7-C10)+IF(AND(Q7=2,Q11=2),G7-C11)+IF(AND(Q7=3,Q8=3),D7-C8)+IF(AND(Q7=3,Q9=3),E7-C9)+IF(AND(Q7=3,Q10=3),F7-C10)+IF(AND(Q7=3,Q11=3),G7-C11)+IF(AND(Q7=4,Q8=4),D7-C8)+IF(AND(Q7=4,Q9=4),E7-C9)+IF(AND(Q7=4,Q10=4),F7-C10)+IF(AND(Q7=4,Q11=4),G7-C11)</f>
        <v>0</v>
      </c>
      <c r="M7" s="857">
        <f>SUM(AND(R7=R8,D7&gt;C8),AND(R7=R9,E7&gt;C9),AND(R7=R10,F7&gt;C10),AND(R7=R11,G7&gt;C11))</f>
        <v>0</v>
      </c>
      <c r="N7" s="858" t="str">
        <f>SUM(C7:G7)&amp;"-"&amp;SUM(C7:C11)</f>
        <v>52-30</v>
      </c>
      <c r="O7" s="859">
        <f>D7+E7+F7+G7-C8-C9-C10-C11</f>
        <v>22</v>
      </c>
      <c r="P7" s="860">
        <f>SUM(C7:G7,C7:C11)/SUM(C7:C11)</f>
        <v>2.7333333333333334</v>
      </c>
      <c r="Q7" s="861">
        <f>VALUE(LEFT(H7,1))</f>
        <v>4</v>
      </c>
      <c r="R7" s="862">
        <f>Q7*100000+J7*10000+K7*1000+100*L7</f>
        <v>400000</v>
      </c>
      <c r="S7" s="896">
        <f>R7+M7*0.1+IF(ISNONTEXT(B7),0,0.01)+0.0001*O7</f>
        <v>400000.0122</v>
      </c>
      <c r="T7" s="864" t="str">
        <f>Q7&amp;J7</f>
        <v>40</v>
      </c>
      <c r="U7" s="880"/>
      <c r="AD7" s="676">
        <f ca="1">SUM(AF7:AF7)</f>
        <v>310</v>
      </c>
      <c r="AE7" s="829" t="str">
        <f>$B7</f>
        <v>Jaan Sepp</v>
      </c>
      <c r="AF7" s="830">
        <f ca="1">IFERROR(INDEX(Reit!$I:$I,MATCH(AE7,Reit!$F:$F,0)),"")</f>
        <v>310</v>
      </c>
    </row>
    <row r="8" spans="1:32" x14ac:dyDescent="0.2">
      <c r="A8" s="837">
        <v>2</v>
      </c>
      <c r="B8" s="865" t="s">
        <v>229</v>
      </c>
      <c r="C8" s="852">
        <v>11</v>
      </c>
      <c r="D8" s="850"/>
      <c r="E8" s="852">
        <v>13</v>
      </c>
      <c r="F8" s="852">
        <v>13</v>
      </c>
      <c r="G8" s="852">
        <v>13</v>
      </c>
      <c r="H8" s="853" t="str">
        <f>(IF(C8-D7&gt;0,1)+IF(E8-D9&gt;0,1)+IF(F8-D10&gt;0,1)+IF(G8-D11&gt;0,1))&amp;"-"&amp;(IF(C8-D7&lt;0,1)+IF(E8-D9&lt;0,1)+IF(F8-D10&lt;0,1)+IF(G8-D11&lt;0,1))</f>
        <v>3-1</v>
      </c>
      <c r="I8" s="852" t="str">
        <f>IF(AND(B8&lt;&gt;"",R$6=TRUE),A$6&amp;RANK(S8,S$7:S$11,0)," ")</f>
        <v>A2</v>
      </c>
      <c r="J8" s="866">
        <f>IF(AND(Q8=1,Q7=1,C8&gt;D7),1)+IF(AND(Q8=1,Q9=1,E8&gt;D9),1)+IF(AND(Q8=1,Q10=1,F8&gt;D10),1)+IF(AND(Q8=1,Q11=1,G8&gt;D11),1)+IF(AND(Q8=2,Q7=2,C8&gt;D7),1)+IF(AND(Q8=2,Q9=2,E8&gt;D9),1)+IF(AND(Q8=2,Q10=2,F8&gt;D10),1)+IF(AND(Q8=2,Q11=2,G8&gt;D11),1)+IF(AND(Q8=3,Q7=3,C8&gt;D7),1)+IF(AND(Q8=3,Q9=3,E8&gt;D9),1)+IF(AND(Q8=3,Q10=3,F8&gt;D10),1)+IF(AND(Q8=3,Q11=3,G8&gt;D11),1)</f>
        <v>0</v>
      </c>
      <c r="K8" s="857">
        <f>SUM(AND(T8=T7,C8&gt;D7),AND(T8=T9,E8&gt;D9),AND(T8=T10,F8&gt;D10),AND(T8=T11,G8&gt;D11))</f>
        <v>0</v>
      </c>
      <c r="L8" s="867">
        <f>IF(AND(Q8=1,Q7=1),C8-D7)+IF(AND(Q8=1,Q9=1),E8-D9)+IF(AND(Q8=1,Q10=1),F8-D10)+IF(AND(Q8=1,Q11=1),G8-D11)+IF(AND(Q8=2,Q7=2),C8-D7)+IF(AND(Q8=2,Q9=2),E8-D9)+IF(AND(Q8=2,Q10=2),F8-D10)+IF(AND(Q8=2,Q11=2),G8-D11)+IF(AND(Q8=3,Q7=3),C8-D7)+IF(AND(Q8=3,Q9=3),E8-D9)+IF(AND(Q8=3,Q10=3),F8-D10)+IF(AND(Q8=3,Q11=3),G8-D11)+IF(AND(Q8=4,Q7=4),C8-D7)+IF(AND(Q8=4,Q9=4),E8-D9)+IF(AND(Q8=4,Q10=4),F8-D10)+IF(AND(Q8=4,Q11=4),G8-D11)</f>
        <v>0</v>
      </c>
      <c r="M8" s="857">
        <f>SUM(AND(R8=R7,C8&gt;D7),AND(R8=R9,E8&gt;D9),AND(R8=R10,F8&gt;D10),AND(R8=R11,G8&gt;D11))</f>
        <v>0</v>
      </c>
      <c r="N8" s="858" t="str">
        <f>SUM(C8:G8)&amp;"-"&amp;SUM(D7:D11)</f>
        <v>50-39</v>
      </c>
      <c r="O8" s="859">
        <f>C8+E8+F8+G8-D7-D9-D10-D11</f>
        <v>11</v>
      </c>
      <c r="P8" s="860">
        <f>SUM(C8:G8,D7:D11)/SUM(D7:D11)</f>
        <v>2.2820512820512819</v>
      </c>
      <c r="Q8" s="868">
        <f>VALUE(LEFT(H8,1))</f>
        <v>3</v>
      </c>
      <c r="R8" s="862">
        <f>Q8*100000+J8*10000+K8*1000+100*L8</f>
        <v>300000</v>
      </c>
      <c r="S8" s="896">
        <f>R8+M8*0.1+IF(ISNONTEXT(B8),0,0.01)+0.0001*O8</f>
        <v>300000.0111</v>
      </c>
      <c r="T8" s="864" t="str">
        <f>Q8&amp;J8</f>
        <v>30</v>
      </c>
      <c r="U8" s="880"/>
      <c r="AD8" s="676">
        <f ca="1">SUM(AF8:AF8)</f>
        <v>224</v>
      </c>
      <c r="AE8" s="829" t="str">
        <f t="shared" ref="AE8:AE32" si="0">$B8</f>
        <v>Janek Tarto</v>
      </c>
      <c r="AF8" s="830">
        <f ca="1">IFERROR(INDEX(Reit!$I:$I,MATCH(AE8,Reit!$F:$F,0)),"")</f>
        <v>224</v>
      </c>
    </row>
    <row r="9" spans="1:32" x14ac:dyDescent="0.2">
      <c r="A9" s="837">
        <v>3</v>
      </c>
      <c r="B9" s="865" t="s">
        <v>232</v>
      </c>
      <c r="C9" s="852">
        <v>11</v>
      </c>
      <c r="D9" s="869">
        <v>6</v>
      </c>
      <c r="E9" s="850"/>
      <c r="F9" s="940">
        <v>11</v>
      </c>
      <c r="G9" s="940">
        <v>13</v>
      </c>
      <c r="H9" s="853" t="str">
        <f>(IF(C9-E7&gt;0,1)+IF(D9-E8&gt;0,1)+IF(F9-E10&gt;0,1)+IF(G9-E11&gt;0,1))&amp;"-"&amp;(IF(C9-E7&lt;0,1)+IF(D9-E8&lt;0,1)+IF(F9-E10&lt;0,1)+IF(G9-E11&lt;0,1))</f>
        <v>1-3</v>
      </c>
      <c r="I9" s="852" t="str">
        <f>IF(AND(B9&lt;&gt;"",R$6=TRUE),A$6&amp;RANK(S9,S$7:S$11,0)," ")</f>
        <v>A4</v>
      </c>
      <c r="J9" s="866">
        <f>IF(AND(Q9=1,Q7=1,C9&gt;E7),1)+IF(AND(Q9=1,Q8=1,D9&gt;E8),1)+IF(AND(Q9=1,Q10=1,F9&gt;E10),1)+IF(AND(Q9=1,Q11=1,G9&gt;E11),1)+IF(AND(Q9=2,Q7=2,C9&gt;E7),1)+IF(AND(Q9=2,Q8=2,D9&gt;E8),1)+IF(AND(Q9=2,Q10=2,F9&gt;E10),1)+IF(AND(Q9=2,Q11=2,G9&gt;E11),1)+IF(AND(Q9=3,Q7=3,C9&gt;E7),1)+IF(AND(Q9=3,Q8=3,D9&gt;E8),1)+IF(AND(Q9=3,Q10=3,F9&gt;E10),1)+IF(AND(Q9=3,Q11=3,G9&gt;E11),1)</f>
        <v>1</v>
      </c>
      <c r="K9" s="857">
        <f>SUM(AND(T9=T7,C9&gt;E7),AND(T9=T8,D9&gt;E8),AND(T9=T10,F9&gt;E10),AND(T9=T11,G9&gt;E11))</f>
        <v>1</v>
      </c>
      <c r="L9" s="867">
        <f>IF(AND(Q9=1,Q7=1),C9-E7)+IF(AND(Q9=1,Q8=1),D9-E8)+IF(AND(Q9=1,Q10=1),F9-E10)+IF(AND(Q9=1,Q11=1),G9-E11)+IF(AND(Q9=2,Q7=2),C9-E7)+IF(AND(Q9=2,Q8=2),D9-E8)+IF(AND(Q9=2,Q10=2),F9-E10)+IF(AND(Q9=2,Q11=2),G9-E11)+IF(AND(Q9=3,Q7=3),C9-E7)+IF(AND(Q9=3,Q8=3),D9-E8)+IF(AND(Q9=3,Q10=3),F9-E10)+IF(AND(Q9=3,Q11=3),G9-E11)+IF(AND(Q9=4,Q7=4),C9-E7)+IF(AND(Q9=4,Q8=4),D9-E8)+IF(AND(Q9=4,Q10=4),F9-E10)+IF(AND(Q9=4,Q11=4),G9-E11)</f>
        <v>0</v>
      </c>
      <c r="M9" s="857">
        <f>SUM(AND(R9=R7,C9&gt;E7),AND(R9=R8,D9&gt;E8),AND(R9=R10,F9&gt;E10),AND(R9=R11,G9&gt;E11))</f>
        <v>0</v>
      </c>
      <c r="N9" s="858" t="str">
        <f>SUM(C9:G9)&amp;"-"&amp;SUM(E7:E11)</f>
        <v>41-50</v>
      </c>
      <c r="O9" s="859">
        <f>C9+D9+F9+G9-E7-E8-E10-E11</f>
        <v>-9</v>
      </c>
      <c r="P9" s="860">
        <f>SUM(C9:G9,E7:E11)/SUM(E7:E11)</f>
        <v>1.82</v>
      </c>
      <c r="Q9" s="868">
        <f>VALUE(LEFT(H9,1))</f>
        <v>1</v>
      </c>
      <c r="R9" s="862">
        <f>Q9*100000+J9*10000+K9*1000+100*L9</f>
        <v>111000</v>
      </c>
      <c r="S9" s="896">
        <f>R9+M9*0.1+IF(ISNONTEXT(B9),0,0.01)+0.0001*O9</f>
        <v>111000.0091</v>
      </c>
      <c r="T9" s="864" t="str">
        <f>Q9&amp;J9</f>
        <v>11</v>
      </c>
      <c r="U9" s="880"/>
      <c r="AD9" s="676">
        <f ca="1">SUM(AF9:AF9)</f>
        <v>168</v>
      </c>
      <c r="AE9" s="829" t="str">
        <f t="shared" si="0"/>
        <v>Andrei Grintšak</v>
      </c>
      <c r="AF9" s="830">
        <f ca="1">IFERROR(INDEX(Reit!$I:$I,MATCH(AE9,Reit!$F:$F,0)),"")</f>
        <v>168</v>
      </c>
    </row>
    <row r="10" spans="1:32" x14ac:dyDescent="0.2">
      <c r="A10" s="837">
        <v>4</v>
      </c>
      <c r="B10" s="870" t="s">
        <v>227</v>
      </c>
      <c r="C10" s="852">
        <v>4</v>
      </c>
      <c r="D10" s="869">
        <v>10</v>
      </c>
      <c r="E10" s="940">
        <v>13</v>
      </c>
      <c r="F10" s="850"/>
      <c r="G10" s="940">
        <v>7</v>
      </c>
      <c r="H10" s="853" t="str">
        <f>(IF(C10-F7&gt;0,1)+IF(D10-F8&gt;0,1)+IF(E10-F9&gt;0,1)+IF(G10-F11&gt;0,1))&amp;"-"&amp;(IF(C10-F7&lt;0,1)+IF(D10-F8&lt;0,1)+IF(E10-F9&lt;0,1)+IF(G10-F11&lt;0,1))</f>
        <v>1-3</v>
      </c>
      <c r="I10" s="852" t="str">
        <f>IF(AND(B10&lt;&gt;"",R$6=TRUE),A$6&amp;RANK(S10,S$7:S$11,0)," ")</f>
        <v>A5</v>
      </c>
      <c r="J10" s="866">
        <f>IF(AND(Q10=1,Q7=1,C10&gt;F7),1)+IF(AND(Q10=1,Q8=1,D10&gt;F8),1)+IF(AND(Q10=1,Q9=1,E10&gt;F9),1)+IF(AND(Q10=1,Q11=1,G10&gt;F11),1)+IF(AND(Q10=2,Q7=2,C10&gt;F7),1)+IF(AND(Q10=2,Q8=2,D10&gt;F8),1)+IF(AND(Q10=2,Q9=2,E10&gt;F9),1)+IF(AND(Q10=2,Q11=2,G10&gt;F11),1)+IF(AND(Q10=3,Q7=3,C10&gt;F7),1)+IF(AND(Q10=3,Q8=3,D10&gt;F8),1)+IF(AND(Q10=3,Q9=3,E10&gt;F9),1)+IF(AND(Q10=3,Q11=3,G10&gt;F11),1)</f>
        <v>1</v>
      </c>
      <c r="K10" s="857">
        <f>SUM(AND(T10=T7,C10&gt;F7),AND(T10=T8,D10&gt;F8),AND(T10=T9,E10&gt;F9),AND(T10=T11,G10&gt;F11))</f>
        <v>1</v>
      </c>
      <c r="L10" s="867">
        <f>IF(AND(Q10=1,Q7=1),C10-F7)+IF(AND(Q10=1,Q8=1),D10-F8)+IF(AND(Q10=1,Q9=1),E10-F9)+IF(AND(Q10=1,Q11=1),G10-F11)+IF(AND(Q10=2,Q7=2),C10-F7)+IF(AND(Q10=2,Q8=2),D10-F8)+IF(AND(Q10=2,Q9=2),E10-F9)+IF(AND(Q10=2,Q11=2),G10-F11)+IF(AND(Q10=3,Q7=3),C10-F7)+IF(AND(Q10=3,Q8=3),D10-F8)+IF(AND(Q10=3,Q9=3),E10-F9)+IF(AND(Q10=3,Q11=3),G10-F11)+IF(AND(Q10=4,Q7=4),C10-F7)+IF(AND(Q10=4,Q8=4),D10-F8)+IF(AND(Q10=4,Q9=4),E10-F9)+IF(AND(Q10=4,Q11=4),G10-F11)</f>
        <v>-4</v>
      </c>
      <c r="M10" s="857">
        <f>SUM(AND(R10=R7,C10&gt;F7),AND(R10=R8,D10&gt;F8),AND(R10=R9,E10&gt;F9),AND(R10=R11,G10&gt;F11))</f>
        <v>0</v>
      </c>
      <c r="N10" s="858" t="str">
        <f>SUM(C10:G10)&amp;"-"&amp;SUM(F7:F11)</f>
        <v>34-50</v>
      </c>
      <c r="O10" s="859">
        <f>C10+D10+E10+G10-F7-F8-F9-F11</f>
        <v>-16</v>
      </c>
      <c r="P10" s="860">
        <f>SUM(C10:G10,F7:F11)/SUM(F7:F11)</f>
        <v>1.68</v>
      </c>
      <c r="Q10" s="868">
        <f>VALUE(LEFT(H10,1))</f>
        <v>1</v>
      </c>
      <c r="R10" s="862">
        <f>Q10*100000+J10*10000+K10*1000+100*L10</f>
        <v>110600</v>
      </c>
      <c r="S10" s="896">
        <f>R10+M10*0.1+IF(ISNONTEXT(B10),0,0.01)+0.0001*O10</f>
        <v>110600.00839999999</v>
      </c>
      <c r="T10" s="864" t="str">
        <f>Q10&amp;J10</f>
        <v>11</v>
      </c>
      <c r="U10" s="880"/>
      <c r="AD10" s="676">
        <f ca="1">SUM(AF10:AF10)</f>
        <v>234</v>
      </c>
      <c r="AE10" s="829" t="str">
        <f t="shared" si="0"/>
        <v>Andres Veski</v>
      </c>
      <c r="AF10" s="830">
        <f ca="1">IFERROR(INDEX(Reit!$I:$I,MATCH(AE10,Reit!$F:$F,0)),"")</f>
        <v>234</v>
      </c>
    </row>
    <row r="11" spans="1:32" x14ac:dyDescent="0.2">
      <c r="A11" s="837">
        <v>5</v>
      </c>
      <c r="B11" s="870" t="s">
        <v>271</v>
      </c>
      <c r="C11" s="852">
        <v>4</v>
      </c>
      <c r="D11" s="852">
        <v>10</v>
      </c>
      <c r="E11" s="940">
        <v>11</v>
      </c>
      <c r="F11" s="940">
        <v>13</v>
      </c>
      <c r="G11" s="850"/>
      <c r="H11" s="853" t="str">
        <f>(IF(C11-G7&gt;0,1)+IF(D11-G8&gt;0,1)+IF(E11-G9&gt;0,1)+IF(F11-G10&gt;0,1))&amp;"-"&amp;(IF(C11-G7&lt;0,1)+IF(D11-G8&lt;0,1)+IF(E11-G9&lt;0,1)+IF(F11-G10&lt;0,1))</f>
        <v>1-3</v>
      </c>
      <c r="I11" s="852" t="str">
        <f>IF(AND(B11&lt;&gt;"",R$6=TRUE),A$6&amp;RANK(S11,S$7:S$11,0)," ")</f>
        <v>A3</v>
      </c>
      <c r="J11" s="866">
        <f>IF(AND(Q11=1,Q7=1,C11&gt;G7),1)+IF(AND(Q11=1,Q8=1,D11&gt;G8),1)+IF(AND(Q11=1,Q9=1,E11&gt;G9),1)+IF(AND(Q11=1,Q10=1,F11&gt;G10),1)+IF(AND(Q11=2,Q7=2,C11&gt;G7),1)+IF(AND(Q11=2,Q8=2,D11&gt;G8),1)+IF(AND(Q11=2,Q9=2,E11&gt;G9),1)+IF(AND(Q11=2,Q10=2,F11&gt;G10),1)+IF(AND(Q11=3,Q7=3,C11&gt;G7),1)+IF(AND(Q11=3,Q8=3,D11&gt;G8),1)+IF(AND(Q11=3,Q9=3,E11&gt;G9),1)+IF(AND(Q11=3,Q10=3,F11&gt;G10),1)</f>
        <v>1</v>
      </c>
      <c r="K11" s="857">
        <f>SUM(AND(T11=T7,C11&gt;G7),AND(T11=T8,D11&gt;G8),AND(T11=T9,E11&gt;G9),AND(T11=T10,F11&gt;G10))</f>
        <v>1</v>
      </c>
      <c r="L11" s="867">
        <f>IF(AND(Q11=1,Q7=1),C11-G7)+IF(AND(Q11=1,Q8=1),D11-G8)+IF(AND(Q11=1,Q9=1),E11-G9)+IF(AND(Q11=1,Q10=1),F11-G10)+IF(AND(Q11=2,Q7=2),C11-G7)+IF(AND(Q11=2,Q8=2),D11-G8)+IF(AND(Q11=2,Q9=2),E11-G9)+IF(AND(Q11=2,Q10=2),F11-G10)+IF(AND(Q11=3,Q7=3),C11-G7)+IF(AND(Q11=3,Q8=3),D11-G8)+IF(AND(Q11=3,Q9=3),E11-G9)+IF(AND(Q11=3,Q10=3),F11-G10)+IF(AND(Q11=4,Q7=4),C11-G7)+IF(AND(Q11=4,Q8=4),D11-G8)+IF(AND(Q11=4,Q9=4),E11-G9)+IF(AND(Q11=4,Q10=4),F11-G10)</f>
        <v>4</v>
      </c>
      <c r="M11" s="857">
        <f>SUM(AND(R11=R7,C11&gt;G7),AND(R11=R8,D11&gt;G8),AND(R11=R9,E11&gt;G9),AND(R11=R10,F11&gt;G10))</f>
        <v>0</v>
      </c>
      <c r="N11" s="858" t="str">
        <f>SUM(C11:G11)&amp;"-"&amp;SUM(G7:G11)</f>
        <v>38-46</v>
      </c>
      <c r="O11" s="859">
        <f>C11+D11+E11+F11-G7-G8-G9-G10</f>
        <v>-8</v>
      </c>
      <c r="P11" s="860">
        <f>SUM(C11:G11,G7:G11)/SUM(G7:G11)</f>
        <v>1.826086956521739</v>
      </c>
      <c r="Q11" s="868">
        <f>VALUE(LEFT(H11,1))</f>
        <v>1</v>
      </c>
      <c r="R11" s="862">
        <f>Q11*100000+J11*10000+K11*1000+100*L11</f>
        <v>111400</v>
      </c>
      <c r="S11" s="896">
        <f>R11+M11*0.1+IF(ISNONTEXT(B11),0,0.01)+0.0001*O11</f>
        <v>111400.0092</v>
      </c>
      <c r="T11" s="864" t="str">
        <f>Q11&amp;J11</f>
        <v>11</v>
      </c>
      <c r="U11" s="880"/>
      <c r="AD11" s="676">
        <f ca="1">SUM(AF11:AF11)</f>
        <v>6</v>
      </c>
      <c r="AE11" s="829" t="str">
        <f t="shared" si="0"/>
        <v>Marko Rooden</v>
      </c>
      <c r="AF11" s="830">
        <f ca="1">IFERROR(INDEX(Reit!$I:$I,MATCH(AE11,Reit!$F:$F,0)),"")</f>
        <v>6</v>
      </c>
    </row>
    <row r="12" spans="1:32" x14ac:dyDescent="0.2">
      <c r="A12" s="898"/>
      <c r="B12" s="899"/>
      <c r="C12" s="900"/>
      <c r="D12" s="901"/>
      <c r="E12" s="900"/>
      <c r="F12" s="902"/>
      <c r="G12" s="903"/>
      <c r="H12" s="904"/>
      <c r="I12" s="655"/>
      <c r="J12" s="880"/>
      <c r="K12" s="880"/>
      <c r="L12" s="880"/>
      <c r="M12" s="880"/>
      <c r="N12" s="880"/>
      <c r="O12" s="880"/>
      <c r="P12" s="880"/>
      <c r="Q12" s="880"/>
      <c r="R12" s="894" t="s">
        <v>517</v>
      </c>
      <c r="S12" s="880"/>
      <c r="T12" s="880"/>
      <c r="U12" s="880"/>
    </row>
    <row r="13" spans="1:32" x14ac:dyDescent="0.2">
      <c r="A13" s="837" t="s">
        <v>332</v>
      </c>
      <c r="B13" s="838"/>
      <c r="C13" s="839">
        <v>1</v>
      </c>
      <c r="D13" s="839">
        <v>2</v>
      </c>
      <c r="E13" s="839">
        <v>3</v>
      </c>
      <c r="F13" s="839">
        <v>4</v>
      </c>
      <c r="G13" s="839">
        <v>5</v>
      </c>
      <c r="H13" s="840" t="s">
        <v>482</v>
      </c>
      <c r="I13" s="840" t="s">
        <v>454</v>
      </c>
      <c r="J13" s="841" t="s">
        <v>483</v>
      </c>
      <c r="K13" s="842" t="s">
        <v>484</v>
      </c>
      <c r="L13" s="843" t="s">
        <v>485</v>
      </c>
      <c r="M13" s="843" t="s">
        <v>486</v>
      </c>
      <c r="N13" s="936" t="s">
        <v>533</v>
      </c>
      <c r="O13" s="936" t="s">
        <v>533</v>
      </c>
      <c r="P13" s="895" t="s">
        <v>488</v>
      </c>
      <c r="Q13" s="846" t="s">
        <v>312</v>
      </c>
      <c r="R13" s="846" t="b">
        <f>OR(AND(COUNTA(B14:B18)=3,COUNTA(C14:G18)=6),AND(COUNTA(B14:B18)=4,COUNTA(C14:G18)=12),AND(COUNTA(B14:B18)=5,COUNTA(C14:G18)=20))</f>
        <v>1</v>
      </c>
      <c r="S13" s="847" t="s">
        <v>489</v>
      </c>
      <c r="T13" s="848" t="s">
        <v>490</v>
      </c>
      <c r="U13" s="880"/>
    </row>
    <row r="14" spans="1:32" x14ac:dyDescent="0.2">
      <c r="A14" s="837">
        <v>1</v>
      </c>
      <c r="B14" s="820" t="s">
        <v>220</v>
      </c>
      <c r="C14" s="850"/>
      <c r="D14" s="871">
        <v>4</v>
      </c>
      <c r="E14" s="852">
        <v>10</v>
      </c>
      <c r="F14" s="871">
        <v>13</v>
      </c>
      <c r="G14" s="852">
        <v>13</v>
      </c>
      <c r="H14" s="853" t="str">
        <f>(IF(D14-C15&gt;0,1)+IF(E14-C16&gt;0,1)+IF(F14-C17&gt;0,1)+IF(G14-C18&gt;0,1))&amp;"-"&amp;(IF(D14-C15&lt;0,1)+IF(E14-C16&lt;0,1)+IF(F14-C17&lt;0,1)+IF(G14-C18&lt;0,1))</f>
        <v>2-2</v>
      </c>
      <c r="I14" s="852" t="str">
        <f>IF(AND(B14&lt;&gt;"",R$6=TRUE),A$13&amp;RANK(S14,S$14:S$18,0)," ")</f>
        <v>B4</v>
      </c>
      <c r="J14" s="854">
        <f>IF(AND(Q14=1,Q15=1,D14&gt;C15),1)+IF(AND(Q14=1,Q16=1,E14&gt;C16),1)+IF(AND(Q14=1,Q17=1,F14&gt;C17),1)+IF(AND(Q14=1,Q18=1,G14&gt;C18),1)+IF(AND(Q14=2,Q15=2,D14&gt;C15),1)+IF(AND(Q14=2,Q16=2,E14&gt;C16),1)+IF(AND(Q14=2,Q17=2,F14&gt;C17),1)+IF(AND(Q14=2,Q18=2,G14&gt;C18),1)+IF(AND(Q14=3,Q15=3,D14&gt;C15),1)+IF(AND(Q14=3,Q16=3,E14&gt;C16),1)+IF(AND(Q14=3,Q17=3,F14&gt;C17),1)+IF(AND(Q14=3,Q18=3,G14&gt;C18),1)</f>
        <v>1</v>
      </c>
      <c r="K14" s="855">
        <f>SUM(AND(T14=T15,D14&gt;C15),AND(T14=T16,E14&gt;C16),AND(T14=T17,F14&gt;C17),AND(T14=T18,G14&gt;C18))</f>
        <v>1</v>
      </c>
      <c r="L14" s="856">
        <f>IF(AND(Q14=1,Q15=1),D14-C15)+IF(AND(Q14=1,Q16=1),E14-C16)+IF(AND(Q14=1,Q17=1),F14-C17)+IF(AND(Q14=1,Q18=1),G14-C18)+IF(AND(Q14=2,Q15=2),D14-C15)+IF(AND(Q14=2,Q16=2),E14-C16)+IF(AND(Q14=2,Q17=2),F14-C17)+IF(AND(Q14=2,Q18=2),G14-C18)+IF(AND(Q14=3,Q15=3),D14-C15)+IF(AND(Q14=3,Q16=3),E14-C16)+IF(AND(Q14=3,Q17=3),F14-C17)+IF(AND(Q14=3,Q18=3),G14-C18)+IF(AND(Q14=4,Q15=4),D14-C15)+IF(AND(Q14=4,Q16=4),E14-C16)+IF(AND(Q14=4,Q17=4),F14-C17)+IF(AND(Q14=4,Q18=4),G14-C18)</f>
        <v>-8</v>
      </c>
      <c r="M14" s="857">
        <f>SUM(AND(R14=R15,D14&gt;C15),AND(R14=R16,E14&gt;C16),AND(R14=R17,F14&gt;C17),AND(R14=R18,G14&gt;C18))</f>
        <v>0</v>
      </c>
      <c r="N14" s="858" t="str">
        <f>SUM(C14:G14)&amp;"-"&amp;SUM(C14:C18)</f>
        <v>40-47</v>
      </c>
      <c r="O14" s="859">
        <f>D14+E14+F14+G14-C15-C16-C17-C18</f>
        <v>-7</v>
      </c>
      <c r="P14" s="860">
        <f>SUM(C14:G14,C14:C18)/SUM(C14:C18)</f>
        <v>1.8510638297872339</v>
      </c>
      <c r="Q14" s="861">
        <f>VALUE(LEFT(H14,1))</f>
        <v>2</v>
      </c>
      <c r="R14" s="862">
        <f>Q14*100000+J14*10000+K14*1000+100*L14</f>
        <v>210200</v>
      </c>
      <c r="S14" s="896">
        <f>R14+M14*0.1+IF(ISNONTEXT(B14),0,0.01)+0.0001*O14</f>
        <v>210200.00930000001</v>
      </c>
      <c r="T14" s="864" t="str">
        <f>Q14&amp;J14</f>
        <v>21</v>
      </c>
      <c r="U14" s="880"/>
      <c r="AD14" s="676">
        <f ca="1">SUM(AF14:AF14)</f>
        <v>330</v>
      </c>
      <c r="AE14" s="829" t="str">
        <f t="shared" si="0"/>
        <v>Oskar Sepp</v>
      </c>
      <c r="AF14" s="830">
        <f ca="1">IFERROR(INDEX(Reit!$I:$I,MATCH(AE14,Reit!$F:$F,0)),"")</f>
        <v>330</v>
      </c>
    </row>
    <row r="15" spans="1:32" x14ac:dyDescent="0.2">
      <c r="A15" s="837">
        <v>2</v>
      </c>
      <c r="B15" s="849" t="s">
        <v>224</v>
      </c>
      <c r="C15" s="871">
        <v>13</v>
      </c>
      <c r="D15" s="850"/>
      <c r="E15" s="852">
        <v>5</v>
      </c>
      <c r="F15" s="871">
        <v>9</v>
      </c>
      <c r="G15" s="852">
        <v>13</v>
      </c>
      <c r="H15" s="853" t="str">
        <f>(IF(C15-D14&gt;0,1)+IF(E15-D16&gt;0,1)+IF(F15-D17&gt;0,1)+IF(G15-D18&gt;0,1))&amp;"-"&amp;(IF(C15-D14&lt;0,1)+IF(E15-D16&lt;0,1)+IF(F15-D17&lt;0,1)+IF(G15-D18&lt;0,1))</f>
        <v>2-2</v>
      </c>
      <c r="I15" s="852" t="str">
        <f>IF(AND(B15&lt;&gt;"",R$6=TRUE),A$13&amp;RANK(S15,S$14:S$18,0)," ")</f>
        <v>B2</v>
      </c>
      <c r="J15" s="866">
        <f>IF(AND(Q15=1,Q14=1,C15&gt;D14),1)+IF(AND(Q15=1,Q16=1,E15&gt;D16),1)+IF(AND(Q15=1,Q17=1,F15&gt;D17),1)+IF(AND(Q15=1,Q18=1,G15&gt;D18),1)+IF(AND(Q15=2,Q14=2,C15&gt;D14),1)+IF(AND(Q15=2,Q16=2,E15&gt;D16),1)+IF(AND(Q15=2,Q17=2,F15&gt;D17),1)+IF(AND(Q15=2,Q18=2,G15&gt;D18),1)+IF(AND(Q15=3,Q14=3,C15&gt;D14),1)+IF(AND(Q15=3,Q16=3,E15&gt;D16),1)+IF(AND(Q15=3,Q17=3,F15&gt;D17),1)+IF(AND(Q15=3,Q18=3,G15&gt;D18),1)</f>
        <v>1</v>
      </c>
      <c r="K15" s="857">
        <f>SUM(AND(T15=T14,C15&gt;D14),AND(T15=T16,E15&gt;D16),AND(T15=T17,F15&gt;D17),AND(T15=T18,G15&gt;D18))</f>
        <v>1</v>
      </c>
      <c r="L15" s="867">
        <f>IF(AND(Q15=1,Q14=1),C15-D14)+IF(AND(Q15=1,Q16=1),E15-D16)+IF(AND(Q15=1,Q17=1),F15-D17)+IF(AND(Q15=1,Q18=1),G15-D18)+IF(AND(Q15=2,Q14=2),C15-D14)+IF(AND(Q15=2,Q16=2),E15-D16)+IF(AND(Q15=2,Q17=2),F15-D17)+IF(AND(Q15=2,Q18=2),G15-D18)+IF(AND(Q15=3,Q14=3),C15-D14)+IF(AND(Q15=3,Q16=3),E15-D16)+IF(AND(Q15=3,Q17=3),F15-D17)+IF(AND(Q15=3,Q18=3),G15-D18)+IF(AND(Q15=4,Q14=4),C15-D14)+IF(AND(Q15=4,Q16=4),E15-D16)+IF(AND(Q15=4,Q17=4),F15-D17)+IF(AND(Q15=4,Q18=4),G15-D18)</f>
        <v>5</v>
      </c>
      <c r="M15" s="857">
        <f>SUM(AND(R15=R14,C15&gt;D14),AND(R15=R16,E15&gt;D16),AND(R15=R17,F15&gt;D17),AND(R15=R18,G15&gt;D18))</f>
        <v>0</v>
      </c>
      <c r="N15" s="858" t="str">
        <f>SUM(C15:G15)&amp;"-"&amp;SUM(D14:D18)</f>
        <v>40-33</v>
      </c>
      <c r="O15" s="859">
        <f>C15+E15+F15+G15-D14-D16-D17-D18</f>
        <v>7</v>
      </c>
      <c r="P15" s="860">
        <f>SUM(C15:G15,D14:D18)/SUM(D14:D18)</f>
        <v>2.2121212121212119</v>
      </c>
      <c r="Q15" s="868">
        <f>VALUE(LEFT(H15,1))</f>
        <v>2</v>
      </c>
      <c r="R15" s="862">
        <f>Q15*100000+J15*10000+K15*1000+100*L15</f>
        <v>211500</v>
      </c>
      <c r="S15" s="896">
        <f>R15+M15*0.1+IF(ISNONTEXT(B15),0,0.01)+0.0001*O15</f>
        <v>211500.01070000001</v>
      </c>
      <c r="T15" s="864" t="str">
        <f>Q15&amp;J15</f>
        <v>21</v>
      </c>
      <c r="U15" s="880"/>
      <c r="AD15" s="676">
        <f ca="1">SUM(AF15:AF15)</f>
        <v>258</v>
      </c>
      <c r="AE15" s="829" t="str">
        <f t="shared" si="0"/>
        <v>Elmo Lageda</v>
      </c>
      <c r="AF15" s="830">
        <f ca="1">IFERROR(INDEX(Reit!$I:$I,MATCH(AE15,Reit!$F:$F,0)),"")</f>
        <v>258</v>
      </c>
    </row>
    <row r="16" spans="1:32" x14ac:dyDescent="0.2">
      <c r="A16" s="837">
        <v>3</v>
      </c>
      <c r="B16" s="865" t="s">
        <v>230</v>
      </c>
      <c r="C16" s="852">
        <v>13</v>
      </c>
      <c r="D16" s="869">
        <v>13</v>
      </c>
      <c r="E16" s="850"/>
      <c r="F16" s="852">
        <v>13</v>
      </c>
      <c r="G16" s="852">
        <v>13</v>
      </c>
      <c r="H16" s="853" t="str">
        <f>(IF(C16-E14&gt;0,1)+IF(D16-E15&gt;0,1)+IF(F16-E17&gt;0,1)+IF(G16-E18&gt;0,1))&amp;"-"&amp;(IF(C16-E14&lt;0,1)+IF(D16-E15&lt;0,1)+IF(F16-E17&lt;0,1)+IF(G16-E18&lt;0,1))</f>
        <v>4-0</v>
      </c>
      <c r="I16" s="852" t="str">
        <f>IF(AND(B16&lt;&gt;"",R$6=TRUE),A$13&amp;RANK(S16,S$14:S$18,0)," ")</f>
        <v>B1</v>
      </c>
      <c r="J16" s="866">
        <f>IF(AND(Q16=1,Q14=1,C16&gt;E14),1)+IF(AND(Q16=1,Q15=1,D16&gt;E15),1)+IF(AND(Q16=1,Q17=1,F16&gt;E17),1)+IF(AND(Q16=1,Q18=1,G16&gt;E18),1)+IF(AND(Q16=2,Q14=2,C16&gt;E14),1)+IF(AND(Q16=2,Q15=2,D16&gt;E15),1)+IF(AND(Q16=2,Q17=2,F16&gt;E17),1)+IF(AND(Q16=2,Q18=2,G16&gt;E18),1)+IF(AND(Q16=3,Q14=3,C16&gt;E14),1)+IF(AND(Q16=3,Q15=3,D16&gt;E15),1)+IF(AND(Q16=3,Q17=3,F16&gt;E17),1)+IF(AND(Q16=3,Q18=3,G16&gt;E18),1)</f>
        <v>0</v>
      </c>
      <c r="K16" s="857">
        <f>SUM(AND(T16=T14,C16&gt;E14),AND(T16=T15,D16&gt;E15),AND(T16=T17,F16&gt;E17),AND(T16=T18,G16&gt;E18))</f>
        <v>0</v>
      </c>
      <c r="L16" s="867">
        <f>IF(AND(Q16=1,Q14=1),C16-E14)+IF(AND(Q16=1,Q15=1),D16-E15)+IF(AND(Q16=1,Q17=1),F16-E17)+IF(AND(Q16=1,Q18=1),G16-E18)+IF(AND(Q16=2,Q14=2),C16-E14)+IF(AND(Q16=2,Q15=2),D16-E15)+IF(AND(Q16=2,Q17=2),F16-E17)+IF(AND(Q16=2,Q18=2),G16-E18)+IF(AND(Q16=3,Q14=3),C16-E14)+IF(AND(Q16=3,Q15=3),D16-E15)+IF(AND(Q16=3,Q17=3),F16-E17)+IF(AND(Q16=3,Q18=3),G16-E18)+IF(AND(Q16=4,Q14=4),C16-E14)+IF(AND(Q16=4,Q15=4),D16-E15)+IF(AND(Q16=4,Q17=4),F16-E17)+IF(AND(Q16=4,Q18=4),G16-E18)</f>
        <v>0</v>
      </c>
      <c r="M16" s="857">
        <f>SUM(AND(R16=R14,C16&gt;E14),AND(R16=R15,D16&gt;E15),AND(R16=R17,F16&gt;E17),AND(R16=R18,G16&gt;E18))</f>
        <v>0</v>
      </c>
      <c r="N16" s="858" t="str">
        <f>SUM(C16:G16)&amp;"-"&amp;SUM(E14:E18)</f>
        <v>52-25</v>
      </c>
      <c r="O16" s="859">
        <f>C16+D16+F16+G16-E14-E15-E17-E18</f>
        <v>27</v>
      </c>
      <c r="P16" s="860">
        <f>SUM(C16:G16,E14:E18)/SUM(E14:E18)</f>
        <v>3.08</v>
      </c>
      <c r="Q16" s="868">
        <f>VALUE(LEFT(H16,1))</f>
        <v>4</v>
      </c>
      <c r="R16" s="862">
        <f>Q16*100000+J16*10000+K16*1000+100*L16</f>
        <v>400000</v>
      </c>
      <c r="S16" s="896">
        <f>R16+M16*0.1+IF(ISNONTEXT(B16),0,0.01)+0.0001*O16</f>
        <v>400000.01270000002</v>
      </c>
      <c r="T16" s="864" t="str">
        <f>Q16&amp;J16</f>
        <v>40</v>
      </c>
      <c r="U16" s="880"/>
      <c r="AD16" s="676">
        <f ca="1">SUM(AF16:AF16)</f>
        <v>196</v>
      </c>
      <c r="AE16" s="829" t="str">
        <f t="shared" si="0"/>
        <v>Aarne Välja</v>
      </c>
      <c r="AF16" s="830">
        <f ca="1">IFERROR(INDEX(Reit!$I:$I,MATCH(AE16,Reit!$F:$F,0)),"")</f>
        <v>196</v>
      </c>
    </row>
    <row r="17" spans="1:32" x14ac:dyDescent="0.2">
      <c r="A17" s="837">
        <v>4</v>
      </c>
      <c r="B17" s="870" t="s">
        <v>222</v>
      </c>
      <c r="C17" s="871">
        <v>12</v>
      </c>
      <c r="D17" s="941">
        <v>13</v>
      </c>
      <c r="E17" s="852">
        <v>2</v>
      </c>
      <c r="F17" s="850"/>
      <c r="G17" s="897">
        <v>13</v>
      </c>
      <c r="H17" s="853" t="str">
        <f>(IF(C17-F14&gt;0,1)+IF(D17-F15&gt;0,1)+IF(E17-F16&gt;0,1)+IF(G17-F18&gt;0,1))&amp;"-"&amp;(IF(C17-F14&lt;0,1)+IF(D17-F15&lt;0,1)+IF(E17-F16&lt;0,1)+IF(G17-F18&lt;0,1))</f>
        <v>2-2</v>
      </c>
      <c r="I17" s="852" t="str">
        <f>IF(AND(B17&lt;&gt;"",R$6=TRUE),A$13&amp;RANK(S17,S$14:S$18,0)," ")</f>
        <v>B3</v>
      </c>
      <c r="J17" s="866">
        <f>IF(AND(Q17=1,Q14=1,C17&gt;F14),1)+IF(AND(Q17=1,Q15=1,D17&gt;F15),1)+IF(AND(Q17=1,Q16=1,E17&gt;F16),1)+IF(AND(Q17=1,Q18=1,G17&gt;F18),1)+IF(AND(Q17=2,Q14=2,C17&gt;F14),1)+IF(AND(Q17=2,Q15=2,D17&gt;F15),1)+IF(AND(Q17=2,Q16=2,E17&gt;F16),1)+IF(AND(Q17=2,Q18=2,G17&gt;F18),1)+IF(AND(Q17=3,Q14=3,C17&gt;F14),1)+IF(AND(Q17=3,Q15=3,D17&gt;F15),1)+IF(AND(Q17=3,Q16=3,E17&gt;F16),1)+IF(AND(Q17=3,Q18=3,G17&gt;F18),1)</f>
        <v>1</v>
      </c>
      <c r="K17" s="857">
        <f>SUM(AND(T17=T14,C17&gt;F14),AND(T17=T15,D17&gt;F15),AND(T17=T16,E17&gt;F16),AND(T17=T18,G17&gt;F18))</f>
        <v>1</v>
      </c>
      <c r="L17" s="867">
        <f>IF(AND(Q17=1,Q14=1),C17-F14)+IF(AND(Q17=1,Q15=1),D17-F15)+IF(AND(Q17=1,Q16=1),E17-F16)+IF(AND(Q17=1,Q18=1),G17-F18)+IF(AND(Q17=2,Q14=2),C17-F14)+IF(AND(Q17=2,Q15=2),D17-F15)+IF(AND(Q17=2,Q16=2),E17-F16)+IF(AND(Q17=2,Q18=2),G17-F18)+IF(AND(Q17=3,Q14=3),C17-F14)+IF(AND(Q17=3,Q15=3),D17-F15)+IF(AND(Q17=3,Q16=3),E17-F16)+IF(AND(Q17=3,Q18=3),G17-F18)+IF(AND(Q17=4,Q14=4),C17-F14)+IF(AND(Q17=4,Q15=4),D17-F15)+IF(AND(Q17=4,Q16=4),E17-F16)+IF(AND(Q17=4,Q18=4),G17-F18)</f>
        <v>3</v>
      </c>
      <c r="M17" s="857">
        <f>SUM(AND(R17=R14,C17&gt;F14),AND(R17=R15,D17&gt;F15),AND(R17=R16,E17&gt;F16),AND(R17=R18,G17&gt;F18))</f>
        <v>0</v>
      </c>
      <c r="N17" s="858" t="str">
        <f>SUM(C17:G17)&amp;"-"&amp;SUM(F14:F18)</f>
        <v>40-43</v>
      </c>
      <c r="O17" s="859">
        <f>C17+D17+E17+G17-F14-F15-F16-F18</f>
        <v>-3</v>
      </c>
      <c r="P17" s="860">
        <f>SUM(C17:G17,F14:F18)/SUM(F14:F18)</f>
        <v>1.930232558139535</v>
      </c>
      <c r="Q17" s="868">
        <f>VALUE(LEFT(H17,1))</f>
        <v>2</v>
      </c>
      <c r="R17" s="862">
        <f>Q17*100000+J17*10000+K17*1000+100*L17</f>
        <v>211300</v>
      </c>
      <c r="S17" s="896">
        <f>R17+M17*0.1+IF(ISNONTEXT(B17),0,0.01)+0.0001*O17</f>
        <v>211300.0097</v>
      </c>
      <c r="T17" s="864" t="str">
        <f>Q17&amp;J17</f>
        <v>21</v>
      </c>
      <c r="U17" s="880"/>
      <c r="AD17" s="676">
        <f ca="1">SUM(AF17:AF17)</f>
        <v>294</v>
      </c>
      <c r="AE17" s="829" t="str">
        <f t="shared" si="0"/>
        <v>Matti Vinni</v>
      </c>
      <c r="AF17" s="830">
        <f ca="1">IFERROR(INDEX(Reit!$I:$I,MATCH(AE17,Reit!$F:$F,0)),"")</f>
        <v>294</v>
      </c>
    </row>
    <row r="18" spans="1:32" x14ac:dyDescent="0.2">
      <c r="A18" s="837">
        <v>5</v>
      </c>
      <c r="B18" s="870" t="s">
        <v>273</v>
      </c>
      <c r="C18" s="852">
        <v>9</v>
      </c>
      <c r="D18" s="852">
        <v>3</v>
      </c>
      <c r="E18" s="852">
        <v>8</v>
      </c>
      <c r="F18" s="852">
        <v>8</v>
      </c>
      <c r="G18" s="850"/>
      <c r="H18" s="853" t="str">
        <f>(IF(C18-G14&gt;0,1)+IF(D18-G15&gt;0,1)+IF(E18-G16&gt;0,1)+IF(F18-G17&gt;0,1))&amp;"-"&amp;(IF(C18-G14&lt;0,1)+IF(D18-G15&lt;0,1)+IF(E18-G16&lt;0,1)+IF(F18-G17&lt;0,1))</f>
        <v>0-4</v>
      </c>
      <c r="I18" s="852" t="str">
        <f>IF(AND(B18&lt;&gt;"",R$6=TRUE),A$13&amp;RANK(S18,S$14:S$18,0)," ")</f>
        <v>B5</v>
      </c>
      <c r="J18" s="866">
        <f>IF(AND(Q18=1,Q14=1,C18&gt;G14),1)+IF(AND(Q18=1,Q15=1,D18&gt;G15),1)+IF(AND(Q18=1,Q16=1,E18&gt;G16),1)+IF(AND(Q18=1,Q17=1,F18&gt;G17),1)+IF(AND(Q18=2,Q14=2,C18&gt;G14),1)+IF(AND(Q18=2,Q15=2,D18&gt;G15),1)+IF(AND(Q18=2,Q16=2,E18&gt;G16),1)+IF(AND(Q18=2,Q17=2,F18&gt;G17),1)+IF(AND(Q18=3,Q14=3,C18&gt;G14),1)+IF(AND(Q18=3,Q15=3,D18&gt;G15),1)+IF(AND(Q18=3,Q16=3,E18&gt;G16),1)+IF(AND(Q18=3,Q17=3,F18&gt;G17),1)</f>
        <v>0</v>
      </c>
      <c r="K18" s="857">
        <f>SUM(AND(T18=T14,C18&gt;G14),AND(T18=T15,D18&gt;G15),AND(T18=T16,E18&gt;G16),AND(T18=T17,F18&gt;G17))</f>
        <v>0</v>
      </c>
      <c r="L18" s="867">
        <f>IF(AND(Q18=1,Q14=1),C18-G14)+IF(AND(Q18=1,Q15=1),D18-G15)+IF(AND(Q18=1,Q16=1),E18-G16)+IF(AND(Q18=1,Q17=1),F18-G17)+IF(AND(Q18=2,Q14=2),C18-G14)+IF(AND(Q18=2,Q15=2),D18-G15)+IF(AND(Q18=2,Q16=2),E18-G16)+IF(AND(Q18=2,Q17=2),F18-G17)+IF(AND(Q18=3,Q14=3),C18-G14)+IF(AND(Q18=3,Q15=3),D18-G15)+IF(AND(Q18=3,Q16=3),E18-G16)+IF(AND(Q18=3,Q17=3),F18-G17)+IF(AND(Q18=4,Q14=4),C18-G14)+IF(AND(Q18=4,Q15=4),D18-G15)+IF(AND(Q18=4,Q16=4),E18-G16)+IF(AND(Q18=4,Q17=4),F18-G17)</f>
        <v>0</v>
      </c>
      <c r="M18" s="857">
        <f>SUM(AND(R18=R14,C18&gt;G14),AND(R18=R15,D18&gt;G15),AND(R18=R16,E18&gt;G16),AND(R18=R17,F18&gt;G17))</f>
        <v>0</v>
      </c>
      <c r="N18" s="858" t="str">
        <f>SUM(C18:G18)&amp;"-"&amp;SUM(G14:G18)</f>
        <v>28-52</v>
      </c>
      <c r="O18" s="859">
        <f>C18+D18+E18+F18-G14-G15-G16-G17</f>
        <v>-24</v>
      </c>
      <c r="P18" s="860">
        <f>SUM(C18:G18,G14:G18)/SUM(G14:G18)</f>
        <v>1.5384615384615385</v>
      </c>
      <c r="Q18" s="868">
        <f>VALUE(LEFT(H18,1))</f>
        <v>0</v>
      </c>
      <c r="R18" s="862">
        <f>Q18*100000+J18*10000+K18*1000+100*L18</f>
        <v>0</v>
      </c>
      <c r="S18" s="896">
        <f>R18+M18*0.1+IF(ISNONTEXT(B18),0,0.01)+0.0001*O18</f>
        <v>7.6E-3</v>
      </c>
      <c r="T18" s="864" t="str">
        <f>Q18&amp;J18</f>
        <v>00</v>
      </c>
      <c r="U18" s="880"/>
      <c r="AD18" s="676">
        <f ca="1">SUM(AF18:AF18)</f>
        <v>1</v>
      </c>
      <c r="AE18" s="829" t="str">
        <f t="shared" si="0"/>
        <v>Mikk Rooden</v>
      </c>
      <c r="AF18" s="830">
        <f ca="1">IFERROR(INDEX(Reit!$I:$I,MATCH(AE18,Reit!$F:$F,0)),"")</f>
        <v>1</v>
      </c>
    </row>
    <row r="19" spans="1:32" x14ac:dyDescent="0.2">
      <c r="A19" s="898"/>
      <c r="B19" s="899"/>
      <c r="C19" s="900"/>
      <c r="D19" s="901"/>
      <c r="E19" s="900"/>
      <c r="F19" s="902"/>
      <c r="G19" s="903"/>
      <c r="H19" s="904"/>
      <c r="I19" s="942"/>
      <c r="J19" s="880"/>
      <c r="K19" s="880"/>
      <c r="L19" s="880"/>
      <c r="M19" s="880"/>
      <c r="N19" s="880"/>
      <c r="O19" s="880"/>
      <c r="P19" s="880"/>
      <c r="Q19" s="880"/>
      <c r="R19" s="894" t="s">
        <v>517</v>
      </c>
      <c r="S19" s="880"/>
      <c r="T19" s="880"/>
      <c r="U19" s="880"/>
    </row>
    <row r="20" spans="1:32" x14ac:dyDescent="0.2">
      <c r="A20" s="837" t="s">
        <v>333</v>
      </c>
      <c r="B20" s="838"/>
      <c r="C20" s="839">
        <v>1</v>
      </c>
      <c r="D20" s="839">
        <v>2</v>
      </c>
      <c r="E20" s="839">
        <v>3</v>
      </c>
      <c r="F20" s="839">
        <v>4</v>
      </c>
      <c r="G20" s="839">
        <v>5</v>
      </c>
      <c r="H20" s="840" t="s">
        <v>482</v>
      </c>
      <c r="I20" s="840" t="s">
        <v>454</v>
      </c>
      <c r="J20" s="841" t="s">
        <v>483</v>
      </c>
      <c r="K20" s="842" t="s">
        <v>484</v>
      </c>
      <c r="L20" s="843" t="s">
        <v>485</v>
      </c>
      <c r="M20" s="843" t="s">
        <v>486</v>
      </c>
      <c r="N20" s="936" t="s">
        <v>533</v>
      </c>
      <c r="O20" s="936" t="s">
        <v>533</v>
      </c>
      <c r="P20" s="895" t="s">
        <v>488</v>
      </c>
      <c r="Q20" s="846" t="s">
        <v>312</v>
      </c>
      <c r="R20" s="846" t="b">
        <f>OR(AND(COUNTA(B21:B25)=3,COUNTA(C21:G25)=6),AND(COUNTA(B21:B25)=4,COUNTA(C21:G25)=12),AND(COUNTA(B21:B25)=5,COUNTA(C21:G25)=20))</f>
        <v>1</v>
      </c>
      <c r="S20" s="847" t="s">
        <v>489</v>
      </c>
      <c r="T20" s="848" t="s">
        <v>490</v>
      </c>
      <c r="U20" s="880"/>
    </row>
    <row r="21" spans="1:32" x14ac:dyDescent="0.2">
      <c r="A21" s="837">
        <v>1</v>
      </c>
      <c r="B21" s="849" t="s">
        <v>223</v>
      </c>
      <c r="C21" s="850"/>
      <c r="D21" s="852">
        <v>8</v>
      </c>
      <c r="E21" s="871">
        <v>13</v>
      </c>
      <c r="F21" s="852">
        <v>13</v>
      </c>
      <c r="G21" s="871">
        <v>11</v>
      </c>
      <c r="H21" s="853" t="str">
        <f>(IF(D21-C22&gt;0,1)+IF(E21-C23&gt;0,1)+IF(F21-C24&gt;0,1)+IF(G21-C25&gt;0,1))&amp;"-"&amp;(IF(D21-C22&lt;0,1)+IF(E21-C23&lt;0,1)+IF(F21-C24&lt;0,1)+IF(G21-C25&lt;0,1))</f>
        <v>2-2</v>
      </c>
      <c r="I21" s="852" t="str">
        <f>IF(AND(B21&lt;&gt;"",R$20=TRUE),A$20&amp;RANK(S21,S$21:S$25,0)," ")</f>
        <v>C2</v>
      </c>
      <c r="J21" s="854">
        <f>IF(AND(Q21=1,Q22=1,D21&gt;C22),1)+IF(AND(Q21=1,Q23=1,E21&gt;C23),1)+IF(AND(Q21=1,Q24=1,F21&gt;C24),1)+IF(AND(Q21=1,Q25=1,G21&gt;C25),1)+IF(AND(Q21=2,Q22=2,D21&gt;C22),1)+IF(AND(Q21=2,Q23=2,E21&gt;C23),1)+IF(AND(Q21=2,Q24=2,F21&gt;C24),1)+IF(AND(Q21=2,Q25=2,G21&gt;C25),1)+IF(AND(Q21=3,Q22=3,D21&gt;C22),1)+IF(AND(Q21=3,Q23=3,E21&gt;C23),1)+IF(AND(Q21=3,Q24=3,F21&gt;C24),1)+IF(AND(Q21=3,Q25=3,G21&gt;C25),1)</f>
        <v>1</v>
      </c>
      <c r="K21" s="855">
        <f>SUM(AND(T21=T22,D21&gt;C22),AND(T21=T23,E21&gt;C23),AND(T21=T24,F21&gt;C24),AND(T21=T25,G21&gt;C25))</f>
        <v>1</v>
      </c>
      <c r="L21" s="856">
        <f>IF(AND(Q21=1,Q22=1),D21-C22)+IF(AND(Q21=1,Q23=1),E21-C23)+IF(AND(Q21=1,Q24=1),F21-C24)+IF(AND(Q21=1,Q25=1),G21-C25)+IF(AND(Q21=2,Q22=2),D21-C22)+IF(AND(Q21=2,Q23=2),E21-C23)+IF(AND(Q21=2,Q24=2),F21-C24)+IF(AND(Q21=2,Q25=2),G21-C25)+IF(AND(Q21=3,Q22=3),D21-C22)+IF(AND(Q21=3,Q23=3),E21-C23)+IF(AND(Q21=3,Q24=3),F21-C24)+IF(AND(Q21=3,Q25=3),G21-C25)+IF(AND(Q21=4,Q22=4),D21-C22)+IF(AND(Q21=4,Q23=4),E21-C23)+IF(AND(Q21=4,Q24=4),F21-C24)+IF(AND(Q21=4,Q25=4),G21-C25)</f>
        <v>6</v>
      </c>
      <c r="M21" s="857">
        <f>SUM(AND(R21=R22,D21&gt;C22),AND(R21=R23,E21&gt;C23),AND(R21=R24,F21&gt;C24),AND(R21=R25,G21&gt;C25))</f>
        <v>0</v>
      </c>
      <c r="N21" s="858" t="str">
        <f>SUM(C21:G21)&amp;"-"&amp;SUM(C21:C25)</f>
        <v>45-31</v>
      </c>
      <c r="O21" s="859">
        <f>D21+E21+F21+G21-C22-C23-C24-C25</f>
        <v>14</v>
      </c>
      <c r="P21" s="860">
        <f>SUM(C21:G21,C21:C25)/SUM(C21:C25)</f>
        <v>2.4516129032258065</v>
      </c>
      <c r="Q21" s="861">
        <f>VALUE(LEFT(H21,1))</f>
        <v>2</v>
      </c>
      <c r="R21" s="862">
        <f>Q21*100000+J21*10000+K21*1000+100*L21</f>
        <v>211600</v>
      </c>
      <c r="S21" s="896">
        <f>R21+M21*0.1+IF(ISNONTEXT(B21),0,0.01)+0.0001*O21</f>
        <v>211600.01140000002</v>
      </c>
      <c r="T21" s="864" t="str">
        <f>Q21&amp;J21</f>
        <v>21</v>
      </c>
      <c r="U21" s="880"/>
      <c r="AD21" s="676">
        <f ca="1">SUM(AF21:AF21)</f>
        <v>258</v>
      </c>
      <c r="AE21" s="829" t="str">
        <f t="shared" si="0"/>
        <v>Oleg Rõndenkov</v>
      </c>
      <c r="AF21" s="830">
        <f ca="1">IFERROR(INDEX(Reit!$I:$I,MATCH(AE21,Reit!$F:$F,0)),"")</f>
        <v>258</v>
      </c>
    </row>
    <row r="22" spans="1:32" x14ac:dyDescent="0.2">
      <c r="A22" s="837">
        <v>2</v>
      </c>
      <c r="B22" s="865" t="s">
        <v>20</v>
      </c>
      <c r="C22" s="852">
        <v>13</v>
      </c>
      <c r="D22" s="850"/>
      <c r="E22" s="852">
        <v>13</v>
      </c>
      <c r="F22" s="852">
        <v>13</v>
      </c>
      <c r="G22" s="852">
        <v>13</v>
      </c>
      <c r="H22" s="853" t="str">
        <f>(IF(C22-D21&gt;0,1)+IF(E22-D23&gt;0,1)+IF(F22-D24&gt;0,1)+IF(G22-D25&gt;0,1))&amp;"-"&amp;(IF(C22-D21&lt;0,1)+IF(E22-D23&lt;0,1)+IF(F22-D24&lt;0,1)+IF(G22-D25&lt;0,1))</f>
        <v>4-0</v>
      </c>
      <c r="I22" s="852" t="str">
        <f t="shared" ref="I22:I25" si="1">IF(AND(B22&lt;&gt;"",R$20=TRUE),A$20&amp;RANK(S22,S$21:S$25,0)," ")</f>
        <v>C1</v>
      </c>
      <c r="J22" s="866">
        <f>IF(AND(Q22=1,Q21=1,C22&gt;D21),1)+IF(AND(Q22=1,Q23=1,E22&gt;D23),1)+IF(AND(Q22=1,Q24=1,F22&gt;D24),1)+IF(AND(Q22=1,Q25=1,G22&gt;D25),1)+IF(AND(Q22=2,Q21=2,C22&gt;D21),1)+IF(AND(Q22=2,Q23=2,E22&gt;D23),1)+IF(AND(Q22=2,Q24=2,F22&gt;D24),1)+IF(AND(Q22=2,Q25=2,G22&gt;D25),1)+IF(AND(Q22=3,Q21=3,C22&gt;D21),1)+IF(AND(Q22=3,Q23=3,E22&gt;D23),1)+IF(AND(Q22=3,Q24=3,F22&gt;D24),1)+IF(AND(Q22=3,Q25=3,G22&gt;D25),1)</f>
        <v>0</v>
      </c>
      <c r="K22" s="857">
        <f>SUM(AND(T22=T21,C22&gt;D21),AND(T22=T23,E22&gt;D23),AND(T22=T24,F22&gt;D24),AND(T22=T25,G22&gt;D25))</f>
        <v>0</v>
      </c>
      <c r="L22" s="867">
        <f>IF(AND(Q22=1,Q21=1),C22-D21)+IF(AND(Q22=1,Q23=1),E22-D23)+IF(AND(Q22=1,Q24=1),F22-D24)+IF(AND(Q22=1,Q25=1),G22-D25)+IF(AND(Q22=2,Q21=2),C22-D21)+IF(AND(Q22=2,Q23=2),E22-D23)+IF(AND(Q22=2,Q24=2),F22-D24)+IF(AND(Q22=2,Q25=2),G22-D25)+IF(AND(Q22=3,Q21=3),C22-D21)+IF(AND(Q22=3,Q23=3),E22-D23)+IF(AND(Q22=3,Q24=3),F22-D24)+IF(AND(Q22=3,Q25=3),G22-D25)+IF(AND(Q22=4,Q21=4),C22-D21)+IF(AND(Q22=4,Q23=4),E22-D23)+IF(AND(Q22=4,Q24=4),F22-D24)+IF(AND(Q22=4,Q25=4),G22-D25)</f>
        <v>0</v>
      </c>
      <c r="M22" s="857">
        <f>SUM(AND(R22=R21,C22&gt;D21),AND(R22=R23,E22&gt;D23),AND(R22=R24,F22&gt;D24),AND(R22=R25,G22&gt;D25))</f>
        <v>0</v>
      </c>
      <c r="N22" s="858" t="str">
        <f>SUM(C22:G22)&amp;"-"&amp;SUM(D21:D25)</f>
        <v>52-27</v>
      </c>
      <c r="O22" s="859">
        <f>C22+E22+F22+G22-D21-D23-D24-D25</f>
        <v>25</v>
      </c>
      <c r="P22" s="860">
        <f>SUM(C22:G22,D21:D25)/SUM(D21:D25)</f>
        <v>2.925925925925926</v>
      </c>
      <c r="Q22" s="868">
        <f>VALUE(LEFT(H22,1))</f>
        <v>4</v>
      </c>
      <c r="R22" s="862">
        <f>Q22*100000+J22*10000+K22*1000+100*L22</f>
        <v>400000</v>
      </c>
      <c r="S22" s="896">
        <f>R22+M22*0.1+IF(ISNONTEXT(B22),0,0.01)+0.0001*O22</f>
        <v>400000.01250000001</v>
      </c>
      <c r="T22" s="864" t="str">
        <f>Q22&amp;J22</f>
        <v>40</v>
      </c>
      <c r="U22" s="880"/>
      <c r="AD22" s="676">
        <f ca="1">SUM(AF22:AF22)</f>
        <v>364</v>
      </c>
      <c r="AE22" s="829" t="str">
        <f t="shared" si="0"/>
        <v>Ivar Viljaste</v>
      </c>
      <c r="AF22" s="830">
        <f ca="1">IFERROR(INDEX(Reit!$I:$I,MATCH(AE22,Reit!$F:$F,0)),"")</f>
        <v>364</v>
      </c>
    </row>
    <row r="23" spans="1:32" x14ac:dyDescent="0.2">
      <c r="A23" s="837">
        <v>3</v>
      </c>
      <c r="B23" s="865" t="s">
        <v>231</v>
      </c>
      <c r="C23" s="871">
        <v>6</v>
      </c>
      <c r="D23" s="869">
        <v>7</v>
      </c>
      <c r="E23" s="850"/>
      <c r="F23" s="852">
        <v>13</v>
      </c>
      <c r="G23" s="871">
        <v>13</v>
      </c>
      <c r="H23" s="853" t="str">
        <f>(IF(C23-E21&gt;0,1)+IF(D23-E22&gt;0,1)+IF(F23-E24&gt;0,1)+IF(G23-E25&gt;0,1))&amp;"-"&amp;(IF(C23-E21&lt;0,1)+IF(D23-E22&lt;0,1)+IF(F23-E24&lt;0,1)+IF(G23-E25&lt;0,1))</f>
        <v>2-2</v>
      </c>
      <c r="I23" s="852" t="str">
        <f t="shared" si="1"/>
        <v>C3</v>
      </c>
      <c r="J23" s="866">
        <f>IF(AND(Q23=1,Q21=1,C23&gt;E21),1)+IF(AND(Q23=1,Q22=1,D23&gt;E22),1)+IF(AND(Q23=1,Q24=1,F23&gt;E24),1)+IF(AND(Q23=1,Q25=1,G23&gt;E25),1)+IF(AND(Q23=2,Q21=2,C23&gt;E21),1)+IF(AND(Q23=2,Q22=2,D23&gt;E22),1)+IF(AND(Q23=2,Q24=2,F23&gt;E24),1)+IF(AND(Q23=2,Q25=2,G23&gt;E25),1)+IF(AND(Q23=3,Q21=3,C23&gt;E21),1)+IF(AND(Q23=3,Q22=3,D23&gt;E22),1)+IF(AND(Q23=3,Q24=3,F23&gt;E24),1)+IF(AND(Q23=3,Q25=3,G23&gt;E25),1)</f>
        <v>1</v>
      </c>
      <c r="K23" s="857">
        <f>SUM(AND(T23=T21,C23&gt;E21),AND(T23=T22,D23&gt;E22),AND(T23=T24,F23&gt;E24),AND(T23=T25,G23&gt;E25))</f>
        <v>1</v>
      </c>
      <c r="L23" s="867">
        <f>IF(AND(Q23=1,Q21=1),C23-E21)+IF(AND(Q23=1,Q22=1),D23-E22)+IF(AND(Q23=1,Q24=1),F23-E24)+IF(AND(Q23=1,Q25=1),G23-E25)+IF(AND(Q23=2,Q21=2),C23-E21)+IF(AND(Q23=2,Q22=2),D23-E22)+IF(AND(Q23=2,Q24=2),F23-E24)+IF(AND(Q23=2,Q25=2),G23-E25)+IF(AND(Q23=3,Q21=3),C23-E21)+IF(AND(Q23=3,Q22=3),D23-E22)+IF(AND(Q23=3,Q24=3),F23-E24)+IF(AND(Q23=3,Q25=3),G23-E25)+IF(AND(Q23=4,Q21=4),C23-E21)+IF(AND(Q23=4,Q22=4),D23-E22)+IF(AND(Q23=4,Q24=4),F23-E24)+IF(AND(Q23=4,Q25=4),G23-E25)</f>
        <v>-1</v>
      </c>
      <c r="M23" s="857">
        <f>SUM(AND(R23=R21,C23&gt;E21),AND(R23=R22,D23&gt;E22),AND(R23=R24,F23&gt;E24),AND(R23=R25,G23&gt;E25))</f>
        <v>0</v>
      </c>
      <c r="N23" s="858" t="str">
        <f>SUM(C23:G23)&amp;"-"&amp;SUM(E21:E25)</f>
        <v>39-37</v>
      </c>
      <c r="O23" s="859">
        <f>C23+D23+F23+G23-E21-E22-E24-E25</f>
        <v>2</v>
      </c>
      <c r="P23" s="860">
        <f>SUM(C23:G23,E21:E25)/SUM(E21:E25)</f>
        <v>2.0540540540540539</v>
      </c>
      <c r="Q23" s="868">
        <f>VALUE(LEFT(H23,1))</f>
        <v>2</v>
      </c>
      <c r="R23" s="862">
        <f>Q23*100000+J23*10000+K23*1000+100*L23</f>
        <v>210900</v>
      </c>
      <c r="S23" s="896">
        <f>R23+M23*0.1+IF(ISNONTEXT(B23),0,0.01)+0.0001*O23</f>
        <v>210900.01020000002</v>
      </c>
      <c r="T23" s="864" t="str">
        <f>Q23&amp;J23</f>
        <v>21</v>
      </c>
      <c r="U23" s="880"/>
      <c r="AD23" s="676">
        <f ca="1">SUM(AF23:AF23)</f>
        <v>190</v>
      </c>
      <c r="AE23" s="829" t="str">
        <f t="shared" si="0"/>
        <v>Boriss Klubov</v>
      </c>
      <c r="AF23" s="830">
        <f ca="1">IFERROR(INDEX(Reit!$I:$I,MATCH(AE23,Reit!$F:$F,0)),"")</f>
        <v>190</v>
      </c>
    </row>
    <row r="24" spans="1:32" x14ac:dyDescent="0.2">
      <c r="A24" s="837">
        <v>4</v>
      </c>
      <c r="B24" s="865" t="s">
        <v>242</v>
      </c>
      <c r="C24" s="852">
        <v>0</v>
      </c>
      <c r="D24" s="869">
        <v>5</v>
      </c>
      <c r="E24" s="852">
        <v>4</v>
      </c>
      <c r="F24" s="850"/>
      <c r="G24" s="897">
        <v>2</v>
      </c>
      <c r="H24" s="853" t="str">
        <f>(IF(C24-F21&gt;0,1)+IF(D24-F22&gt;0,1)+IF(E24-F23&gt;0,1)+IF(G24-F25&gt;0,1))&amp;"-"&amp;(IF(C24-F21&lt;0,1)+IF(D24-F22&lt;0,1)+IF(E24-F23&lt;0,1)+IF(G24-F25&lt;0,1))</f>
        <v>0-4</v>
      </c>
      <c r="I24" s="852" t="str">
        <f t="shared" si="1"/>
        <v>C5</v>
      </c>
      <c r="J24" s="866">
        <f>IF(AND(Q24=1,Q21=1,C24&gt;F21),1)+IF(AND(Q24=1,Q22=1,D24&gt;F22),1)+IF(AND(Q24=1,Q23=1,E24&gt;F23),1)+IF(AND(Q24=1,Q25=1,G24&gt;F25),1)+IF(AND(Q24=2,Q21=2,C24&gt;F21),1)+IF(AND(Q24=2,Q22=2,D24&gt;F22),1)+IF(AND(Q24=2,Q23=2,E24&gt;F23),1)+IF(AND(Q24=2,Q25=2,G24&gt;F25),1)+IF(AND(Q24=3,Q21=3,C24&gt;F21),1)+IF(AND(Q24=3,Q22=3,D24&gt;F22),1)+IF(AND(Q24=3,Q23=3,E24&gt;F23),1)+IF(AND(Q24=3,Q25=3,G24&gt;F25),1)</f>
        <v>0</v>
      </c>
      <c r="K24" s="857">
        <f>SUM(AND(T24=T21,C24&gt;F21),AND(T24=T22,D24&gt;F22),AND(T24=T23,E24&gt;F23),AND(T24=T25,G24&gt;F25))</f>
        <v>0</v>
      </c>
      <c r="L24" s="867">
        <f>IF(AND(Q24=1,Q21=1),C24-F21)+IF(AND(Q24=1,Q22=1),D24-F22)+IF(AND(Q24=1,Q23=1),E24-F23)+IF(AND(Q24=1,Q25=1),G24-F25)+IF(AND(Q24=2,Q21=2),C24-F21)+IF(AND(Q24=2,Q22=2),D24-F22)+IF(AND(Q24=2,Q23=2),E24-F23)+IF(AND(Q24=2,Q25=2),G24-F25)+IF(AND(Q24=3,Q21=3),C24-F21)+IF(AND(Q24=3,Q22=3),D24-F22)+IF(AND(Q24=3,Q23=3),E24-F23)+IF(AND(Q24=3,Q25=3),G24-F25)+IF(AND(Q24=4,Q21=4),C24-F21)+IF(AND(Q24=4,Q22=4),D24-F22)+IF(AND(Q24=4,Q23=4),E24-F23)+IF(AND(Q24=4,Q25=4),G24-F25)</f>
        <v>0</v>
      </c>
      <c r="M24" s="857">
        <f>SUM(AND(R24=R21,C24&gt;F21),AND(R24=R22,D24&gt;F22),AND(R24=R23,E24&gt;F23),AND(R24=R25,G24&gt;F25))</f>
        <v>0</v>
      </c>
      <c r="N24" s="858" t="str">
        <f>SUM(C24:G24)&amp;"-"&amp;SUM(F21:F25)</f>
        <v>11-52</v>
      </c>
      <c r="O24" s="859">
        <f>C24+D24+E24+G24-F21-F22-F23-F25</f>
        <v>-41</v>
      </c>
      <c r="P24" s="860">
        <f>SUM(C24:G24,F21:F25)/SUM(F21:F25)</f>
        <v>1.2115384615384615</v>
      </c>
      <c r="Q24" s="868">
        <f>VALUE(LEFT(H24,1))</f>
        <v>0</v>
      </c>
      <c r="R24" s="862">
        <f>Q24*100000+J24*10000+K24*1000+100*L24</f>
        <v>0</v>
      </c>
      <c r="S24" s="896">
        <f>R24+M24*0.1+IF(ISNONTEXT(B24),0,0.01)+0.0001*O24</f>
        <v>5.8999999999999999E-3</v>
      </c>
      <c r="T24" s="864" t="str">
        <f>Q24&amp;J24</f>
        <v>00</v>
      </c>
      <c r="U24" s="880"/>
      <c r="AD24" s="676">
        <f ca="1">SUM(AF24:AF24)</f>
        <v>89</v>
      </c>
      <c r="AE24" s="829" t="str">
        <f t="shared" si="0"/>
        <v>Oksana Rõndenkova</v>
      </c>
      <c r="AF24" s="830">
        <f ca="1">IFERROR(INDEX(Reit!$I:$I,MATCH(AE24,Reit!$F:$F,0)),"")</f>
        <v>89</v>
      </c>
    </row>
    <row r="25" spans="1:32" x14ac:dyDescent="0.2">
      <c r="A25" s="837">
        <v>5</v>
      </c>
      <c r="B25" s="870" t="s">
        <v>270</v>
      </c>
      <c r="C25" s="871">
        <v>12</v>
      </c>
      <c r="D25" s="852">
        <v>7</v>
      </c>
      <c r="E25" s="871">
        <v>7</v>
      </c>
      <c r="F25" s="852">
        <v>13</v>
      </c>
      <c r="G25" s="850"/>
      <c r="H25" s="853" t="str">
        <f>(IF(C25-G21&gt;0,1)+IF(D25-G22&gt;0,1)+IF(E25-G23&gt;0,1)+IF(F25-G24&gt;0,1))&amp;"-"&amp;(IF(C25-G21&lt;0,1)+IF(D25-G22&lt;0,1)+IF(E25-G23&lt;0,1)+IF(F25-G24&lt;0,1))</f>
        <v>2-2</v>
      </c>
      <c r="I25" s="852" t="str">
        <f t="shared" si="1"/>
        <v>C4</v>
      </c>
      <c r="J25" s="866">
        <f>IF(AND(Q25=1,Q21=1,C25&gt;G21),1)+IF(AND(Q25=1,Q22=1,D25&gt;G22),1)+IF(AND(Q25=1,Q23=1,E25&gt;G23),1)+IF(AND(Q25=1,Q24=1,F25&gt;G24),1)+IF(AND(Q25=2,Q21=2,C25&gt;G21),1)+IF(AND(Q25=2,Q22=2,D25&gt;G22),1)+IF(AND(Q25=2,Q23=2,E25&gt;G23),1)+IF(AND(Q25=2,Q24=2,F25&gt;G24),1)+IF(AND(Q25=3,Q21=3,C25&gt;G21),1)+IF(AND(Q25=3,Q22=3,D25&gt;G22),1)+IF(AND(Q25=3,Q23=3,E25&gt;G23),1)+IF(AND(Q25=3,Q24=3,F25&gt;G24),1)</f>
        <v>1</v>
      </c>
      <c r="K25" s="857">
        <f>SUM(AND(T25=T21,C25&gt;G21),AND(T25=T22,D25&gt;G22),AND(T25=T23,E25&gt;G23),AND(T25=T24,F25&gt;G24))</f>
        <v>1</v>
      </c>
      <c r="L25" s="867">
        <f>IF(AND(Q25=1,Q21=1),C25-G21)+IF(AND(Q25=1,Q22=1),D25-G22)+IF(AND(Q25=1,Q23=1),E25-G23)+IF(AND(Q25=1,Q24=1),F25-G24)+IF(AND(Q25=2,Q21=2),C25-G21)+IF(AND(Q25=2,Q22=2),D25-G22)+IF(AND(Q25=2,Q23=2),E25-G23)+IF(AND(Q25=2,Q24=2),F25-G24)+IF(AND(Q25=3,Q21=3),C25-G21)+IF(AND(Q25=3,Q22=3),D25-G22)+IF(AND(Q25=3,Q23=3),E25-G23)+IF(AND(Q25=3,Q24=3),F25-G24)+IF(AND(Q25=4,Q21=4),C25-G21)+IF(AND(Q25=4,Q22=4),D25-G22)+IF(AND(Q25=4,Q23=4),E25-G23)+IF(AND(Q25=4,Q24=4),F25-G24)</f>
        <v>-5</v>
      </c>
      <c r="M25" s="857">
        <f>SUM(AND(R25=R21,C25&gt;G21),AND(R25=R22,D25&gt;G22),AND(R25=R23,E25&gt;G23),AND(R25=R24,F25&gt;G24))</f>
        <v>0</v>
      </c>
      <c r="N25" s="858" t="str">
        <f>SUM(C25:G25)&amp;"-"&amp;SUM(G21:G25)</f>
        <v>39-39</v>
      </c>
      <c r="O25" s="859">
        <f>C25+D25+E25+F25-G21-G22-G23-G24</f>
        <v>0</v>
      </c>
      <c r="P25" s="860">
        <f>SUM(C25:G25,G21:G25)/SUM(G21:G25)</f>
        <v>2</v>
      </c>
      <c r="Q25" s="868">
        <f>VALUE(LEFT(H25,1))</f>
        <v>2</v>
      </c>
      <c r="R25" s="862">
        <f>Q25*100000+J25*10000+K25*1000+100*L25</f>
        <v>210500</v>
      </c>
      <c r="S25" s="896">
        <f>R25+M25*0.1+IF(ISNONTEXT(B25),0,0.01)+0.0001*O25</f>
        <v>210500.01</v>
      </c>
      <c r="T25" s="864" t="str">
        <f>Q25&amp;J25</f>
        <v>21</v>
      </c>
      <c r="U25" s="880"/>
      <c r="AD25" s="676">
        <f ca="1">SUM(AF25:AF25)</f>
        <v>11</v>
      </c>
      <c r="AE25" s="829" t="str">
        <f t="shared" si="0"/>
        <v>Vello Vasser</v>
      </c>
      <c r="AF25" s="830">
        <f ca="1">IFERROR(INDEX(Reit!$I:$I,MATCH(AE25,Reit!$F:$F,0)),"")</f>
        <v>11</v>
      </c>
    </row>
    <row r="26" spans="1:32" x14ac:dyDescent="0.2">
      <c r="A26" s="943"/>
      <c r="B26" s="893"/>
      <c r="C26" s="903"/>
      <c r="D26" s="903"/>
      <c r="E26" s="903"/>
      <c r="F26" s="944"/>
      <c r="G26" s="944"/>
      <c r="H26" s="945"/>
      <c r="I26" s="893"/>
      <c r="J26" s="880"/>
      <c r="K26" s="880"/>
      <c r="L26" s="880"/>
      <c r="M26" s="880"/>
      <c r="N26" s="880"/>
      <c r="O26" s="880"/>
      <c r="P26" s="880"/>
      <c r="Q26" s="880"/>
      <c r="R26" s="894" t="s">
        <v>517</v>
      </c>
      <c r="S26" s="880"/>
      <c r="T26" s="880"/>
      <c r="U26" s="880"/>
    </row>
    <row r="27" spans="1:32" x14ac:dyDescent="0.2">
      <c r="A27" s="837" t="s">
        <v>334</v>
      </c>
      <c r="B27" s="838"/>
      <c r="C27" s="839">
        <v>1</v>
      </c>
      <c r="D27" s="839">
        <v>2</v>
      </c>
      <c r="E27" s="839">
        <v>3</v>
      </c>
      <c r="F27" s="839">
        <v>4</v>
      </c>
      <c r="G27" s="839">
        <v>5</v>
      </c>
      <c r="H27" s="840" t="s">
        <v>482</v>
      </c>
      <c r="I27" s="840" t="s">
        <v>454</v>
      </c>
      <c r="J27" s="841" t="s">
        <v>483</v>
      </c>
      <c r="K27" s="842" t="s">
        <v>484</v>
      </c>
      <c r="L27" s="843" t="s">
        <v>485</v>
      </c>
      <c r="M27" s="843" t="s">
        <v>486</v>
      </c>
      <c r="N27" s="936" t="s">
        <v>533</v>
      </c>
      <c r="O27" s="936" t="s">
        <v>533</v>
      </c>
      <c r="P27" s="895" t="s">
        <v>488</v>
      </c>
      <c r="Q27" s="846" t="s">
        <v>312</v>
      </c>
      <c r="R27" s="846" t="b">
        <f>OR(AND(COUNTA(B28:B32)=3,COUNTA(C28:G32)=6),AND(COUNTA(B28:B32)=4,COUNTA(C28:G32)=12),AND(COUNTA(B28:B32)=5,COUNTA(C28:G32)=20))</f>
        <v>1</v>
      </c>
      <c r="S27" s="847" t="s">
        <v>489</v>
      </c>
      <c r="T27" s="848" t="s">
        <v>490</v>
      </c>
      <c r="U27" s="880"/>
    </row>
    <row r="28" spans="1:32" x14ac:dyDescent="0.2">
      <c r="A28" s="837">
        <v>1</v>
      </c>
      <c r="B28" s="946" t="s">
        <v>226</v>
      </c>
      <c r="C28" s="850"/>
      <c r="D28" s="852">
        <v>10</v>
      </c>
      <c r="E28" s="852">
        <v>13</v>
      </c>
      <c r="F28" s="851">
        <v>13</v>
      </c>
      <c r="G28" s="852">
        <v>13</v>
      </c>
      <c r="H28" s="853" t="str">
        <f>(IF(D28-C29&gt;0,1)+IF(E28-C30&gt;0,1)+IF(F28-C31&gt;0,1)+IF(G28-C32&gt;0,1))&amp;"-"&amp;(IF(D28-C29&lt;0,1)+IF(E28-C30&lt;0,1)+IF(F28-C31&lt;0,1)+IF(G28-C32&lt;0,1))</f>
        <v>3-1</v>
      </c>
      <c r="I28" s="852" t="str">
        <f>IF(AND(B28&lt;&gt;"",R$27=TRUE),A$27&amp;RANK(S28,S$28:S$32,0)," ")</f>
        <v>D1</v>
      </c>
      <c r="J28" s="854">
        <f>IF(AND(Q28=1,Q29=1,D28&gt;C29),1)+IF(AND(Q28=1,Q30=1,E28&gt;C30),1)+IF(AND(Q28=1,Q31=1,F28&gt;C31),1)+IF(AND(Q28=1,Q32=1,G28&gt;C32),1)+IF(AND(Q28=2,Q29=2,D28&gt;C29),1)+IF(AND(Q28=2,Q30=2,E28&gt;C30),1)+IF(AND(Q28=2,Q31=2,F28&gt;C31),1)+IF(AND(Q28=2,Q32=2,G28&gt;C32),1)+IF(AND(Q28=3,Q29=3,D28&gt;C29),1)+IF(AND(Q28=3,Q30=3,E28&gt;C30),1)+IF(AND(Q28=3,Q31=3,F28&gt;C31),1)+IF(AND(Q28=3,Q32=3,G28&gt;C32),1)</f>
        <v>1</v>
      </c>
      <c r="K28" s="855">
        <f>SUM(AND(T28=T29,D28&gt;C29),AND(T28=T30,E28&gt;C30),AND(T28=T31,F28&gt;C31),AND(T28=T32,G28&gt;C32))</f>
        <v>0</v>
      </c>
      <c r="L28" s="856">
        <f>IF(AND(Q28=1,Q29=1),D28-C29)+IF(AND(Q28=1,Q30=1),E28-C30)+IF(AND(Q28=1,Q31=1),F28-C31)+IF(AND(Q28=1,Q32=1),G28-C32)+IF(AND(Q28=2,Q29=2),D28-C29)+IF(AND(Q28=2,Q30=2),E28-C30)+IF(AND(Q28=2,Q31=2),F28-C31)+IF(AND(Q28=2,Q32=2),G28-C32)+IF(AND(Q28=3,Q29=3),D28-C29)+IF(AND(Q28=3,Q30=3),E28-C30)+IF(AND(Q28=3,Q31=3),F28-C31)+IF(AND(Q28=3,Q32=3),G28-C32)+IF(AND(Q28=4,Q29=4),D28-C29)+IF(AND(Q28=4,Q30=4),E28-C30)+IF(AND(Q28=4,Q31=4),F28-C31)+IF(AND(Q28=4,Q32=4),G28-C32)</f>
        <v>9</v>
      </c>
      <c r="M28" s="857">
        <f>SUM(AND(R28=R29,D28&gt;C29),AND(R28=R30,E28&gt;C30),AND(R28=R31,F28&gt;C31),AND(R28=R32,G28&gt;C32))</f>
        <v>0</v>
      </c>
      <c r="N28" s="858" t="str">
        <f>SUM(C28:G28)&amp;"-"&amp;SUM(C28:C32)</f>
        <v>49-32</v>
      </c>
      <c r="O28" s="859">
        <f>D28+E28+F28+G28-C29-C30-C31-C32</f>
        <v>17</v>
      </c>
      <c r="P28" s="860">
        <f>SUM(C28:G28,C28:C32)/SUM(C28:C32)</f>
        <v>2.53125</v>
      </c>
      <c r="Q28" s="861">
        <f>VALUE(LEFT(H28,1))</f>
        <v>3</v>
      </c>
      <c r="R28" s="862">
        <f>Q28*100000+J28*10000+K28*1000+100*L28</f>
        <v>310900</v>
      </c>
      <c r="S28" s="896">
        <f>R28+M28*0.1+IF(ISNONTEXT(B28),0,0.01)+0.0001*O28</f>
        <v>310900.01170000003</v>
      </c>
      <c r="T28" s="864" t="str">
        <f>Q28&amp;J28</f>
        <v>31</v>
      </c>
      <c r="U28" s="880"/>
      <c r="AD28" s="676">
        <f ca="1">SUM(AF28:AF28)</f>
        <v>250</v>
      </c>
      <c r="AE28" s="829" t="str">
        <f t="shared" si="0"/>
        <v>Tõnu Piik</v>
      </c>
      <c r="AF28" s="830">
        <f ca="1">IFERROR(INDEX(Reit!$I:$I,MATCH(AE28,Reit!$F:$F,0)),"")</f>
        <v>250</v>
      </c>
    </row>
    <row r="29" spans="1:32" x14ac:dyDescent="0.2">
      <c r="A29" s="837">
        <v>2</v>
      </c>
      <c r="B29" s="865" t="s">
        <v>235</v>
      </c>
      <c r="C29" s="852">
        <v>13</v>
      </c>
      <c r="D29" s="850"/>
      <c r="E29" s="871">
        <v>10</v>
      </c>
      <c r="F29" s="852">
        <v>9</v>
      </c>
      <c r="G29" s="852">
        <v>13</v>
      </c>
      <c r="H29" s="853" t="str">
        <f>(IF(C29-D28&gt;0,1)+IF(E29-D30&gt;0,1)+IF(F29-D31&gt;0,1)+IF(G29-D32&gt;0,1))&amp;"-"&amp;(IF(C29-D28&lt;0,1)+IF(E29-D30&lt;0,1)+IF(F29-D31&lt;0,1)+IF(G29-D32&lt;0,1))</f>
        <v>2-2</v>
      </c>
      <c r="I29" s="852" t="str">
        <f t="shared" ref="I29:I32" si="2">IF(AND(B29&lt;&gt;"",R$27=TRUE),A$27&amp;RANK(S29,S$28:S$32,0)," ")</f>
        <v>D4</v>
      </c>
      <c r="J29" s="866">
        <f>IF(AND(Q29=1,Q28=1,C29&gt;D28),1)+IF(AND(Q29=1,Q30=1,E29&gt;D30),1)+IF(AND(Q29=1,Q31=1,F29&gt;D31),1)+IF(AND(Q29=1,Q32=1,G29&gt;D32),1)+IF(AND(Q29=2,Q28=2,C29&gt;D28),1)+IF(AND(Q29=2,Q30=2,E29&gt;D30),1)+IF(AND(Q29=2,Q31=2,F29&gt;D31),1)+IF(AND(Q29=2,Q32=2,G29&gt;D32),1)+IF(AND(Q29=3,Q28=3,C29&gt;D28),1)+IF(AND(Q29=3,Q30=3,E29&gt;D30),1)+IF(AND(Q29=3,Q31=3,F29&gt;D31),1)+IF(AND(Q29=3,Q32=3,G29&gt;D32),1)</f>
        <v>0</v>
      </c>
      <c r="K29" s="857">
        <f>SUM(AND(T29=T28,C29&gt;D28),AND(T29=T30,E29&gt;D30),AND(T29=T31,F29&gt;D31),AND(T29=T32,G29&gt;D32))</f>
        <v>0</v>
      </c>
      <c r="L29" s="867">
        <f>IF(AND(Q29=1,Q28=1),C29-D28)+IF(AND(Q29=1,Q30=1),E29-D30)+IF(AND(Q29=1,Q31=1),F29-D31)+IF(AND(Q29=1,Q32=1),G29-D32)+IF(AND(Q29=2,Q28=2),C29-D28)+IF(AND(Q29=2,Q30=2),E29-D30)+IF(AND(Q29=2,Q31=2),F29-D31)+IF(AND(Q29=2,Q32=2),G29-D32)+IF(AND(Q29=3,Q28=3),C29-D28)+IF(AND(Q29=3,Q30=3),E29-D30)+IF(AND(Q29=3,Q31=3),F29-D31)+IF(AND(Q29=3,Q32=3),G29-D32)+IF(AND(Q29=4,Q28=4),C29-D28)+IF(AND(Q29=4,Q30=4),E29-D30)+IF(AND(Q29=4,Q31=4),F29-D31)+IF(AND(Q29=4,Q32=4),G29-D32)</f>
        <v>-3</v>
      </c>
      <c r="M29" s="857">
        <f>SUM(AND(R29=R28,C29&gt;D28),AND(R29=R30,E29&gt;D30),AND(R29=R31,F29&gt;D31),AND(R29=R32,G29&gt;D32))</f>
        <v>0</v>
      </c>
      <c r="N29" s="858" t="str">
        <f>SUM(C29:G29)&amp;"-"&amp;SUM(D28:D32)</f>
        <v>45-47</v>
      </c>
      <c r="O29" s="859">
        <f>C29+E29+F29+G29-D28-D30-D31-D32</f>
        <v>-2</v>
      </c>
      <c r="P29" s="860">
        <f>SUM(C29:G29,D28:D32)/SUM(D28:D32)</f>
        <v>1.9574468085106382</v>
      </c>
      <c r="Q29" s="868">
        <f>VALUE(LEFT(H29,1))</f>
        <v>2</v>
      </c>
      <c r="R29" s="862">
        <f>Q29*100000+J29*10000+K29*1000+100*L29</f>
        <v>199700</v>
      </c>
      <c r="S29" s="896">
        <f>R29+M29*0.1+IF(ISNONTEXT(B29),0,0.01)+0.0001*O29</f>
        <v>199700.0098</v>
      </c>
      <c r="T29" s="864" t="str">
        <f>Q29&amp;J29</f>
        <v>20</v>
      </c>
      <c r="U29" s="880"/>
      <c r="AD29" s="676">
        <f ca="1">SUM(AF29:AF29)</f>
        <v>158</v>
      </c>
      <c r="AE29" s="829" t="str">
        <f t="shared" si="0"/>
        <v>Tõnu Kapper</v>
      </c>
      <c r="AF29" s="830">
        <f ca="1">IFERROR(INDEX(Reit!$I:$I,MATCH(AE29,Reit!$F:$F,0)),"")</f>
        <v>158</v>
      </c>
    </row>
    <row r="30" spans="1:32" x14ac:dyDescent="0.2">
      <c r="A30" s="837">
        <v>3</v>
      </c>
      <c r="B30" s="865" t="s">
        <v>236</v>
      </c>
      <c r="C30" s="852">
        <v>10</v>
      </c>
      <c r="D30" s="941">
        <v>13</v>
      </c>
      <c r="E30" s="850"/>
      <c r="F30" s="852">
        <v>11</v>
      </c>
      <c r="G30" s="852">
        <v>13</v>
      </c>
      <c r="H30" s="853" t="str">
        <f>(IF(C30-E28&gt;0,1)+IF(D30-E29&gt;0,1)+IF(F30-E31&gt;0,1)+IF(G30-E32&gt;0,1))&amp;"-"&amp;(IF(C30-E28&lt;0,1)+IF(D30-E29&lt;0,1)+IF(F30-E31&lt;0,1)+IF(G30-E32&lt;0,1))</f>
        <v>2-2</v>
      </c>
      <c r="I30" s="852" t="str">
        <f t="shared" si="2"/>
        <v>D3</v>
      </c>
      <c r="J30" s="866">
        <f>IF(AND(Q30=1,Q28=1,C30&gt;E28),1)+IF(AND(Q30=1,Q29=1,D30&gt;E29),1)+IF(AND(Q30=1,Q31=1,F30&gt;E31),1)+IF(AND(Q30=1,Q32=1,G30&gt;E32),1)+IF(AND(Q30=2,Q28=2,C30&gt;E28),1)+IF(AND(Q30=2,Q29=2,D30&gt;E29),1)+IF(AND(Q30=2,Q31=2,F30&gt;E31),1)+IF(AND(Q30=2,Q32=2,G30&gt;E32),1)+IF(AND(Q30=3,Q28=3,C30&gt;E28),1)+IF(AND(Q30=3,Q29=3,D30&gt;E29),1)+IF(AND(Q30=3,Q31=3,F30&gt;E31),1)+IF(AND(Q30=3,Q32=3,G30&gt;E32),1)</f>
        <v>1</v>
      </c>
      <c r="K30" s="857">
        <f>SUM(AND(T30=T28,C30&gt;E28),AND(T30=T29,D30&gt;E29),AND(T30=T31,F30&gt;E31),AND(T30=T32,G30&gt;E32))</f>
        <v>0</v>
      </c>
      <c r="L30" s="867">
        <f>IF(AND(Q30=1,Q28=1),C30-E28)+IF(AND(Q30=1,Q29=1),D30-E29)+IF(AND(Q30=1,Q31=1),F30-E31)+IF(AND(Q30=1,Q32=1),G30-E32)+IF(AND(Q30=2,Q28=2),C30-E28)+IF(AND(Q30=2,Q29=2),D30-E29)+IF(AND(Q30=2,Q31=2),F30-E31)+IF(AND(Q30=2,Q32=2),G30-E32)+IF(AND(Q30=3,Q28=3),C30-E28)+IF(AND(Q30=3,Q29=3),D30-E29)+IF(AND(Q30=3,Q31=3),F30-E31)+IF(AND(Q30=3,Q32=3),G30-E32)+IF(AND(Q30=4,Q28=4),C30-E28)+IF(AND(Q30=4,Q29=4),D30-E29)+IF(AND(Q30=4,Q31=4),F30-E31)+IF(AND(Q30=4,Q32=4),G30-E32)</f>
        <v>3</v>
      </c>
      <c r="M30" s="857">
        <f>SUM(AND(R30=R28,C30&gt;E28),AND(R30=R29,D30&gt;E29),AND(R30=R31,F30&gt;E31),AND(R30=R32,G30&gt;E32))</f>
        <v>0</v>
      </c>
      <c r="N30" s="858" t="str">
        <f>SUM(C30:G30)&amp;"-"&amp;SUM(E28:E32)</f>
        <v>47-37</v>
      </c>
      <c r="O30" s="859">
        <f>C30+D30+F30+G30-E28-E29-E31-E32</f>
        <v>10</v>
      </c>
      <c r="P30" s="860">
        <f>SUM(C30:G30,E28:E32)/SUM(E28:E32)</f>
        <v>2.2702702702702702</v>
      </c>
      <c r="Q30" s="868">
        <f>VALUE(LEFT(H30,1))</f>
        <v>2</v>
      </c>
      <c r="R30" s="862">
        <f>Q30*100000+J30*10000+K30*1000+100*L30</f>
        <v>210300</v>
      </c>
      <c r="S30" s="896">
        <f>R30+M30*0.1+IF(ISNONTEXT(B30),0,0.01)+0.0001*O30</f>
        <v>210300.011</v>
      </c>
      <c r="T30" s="864" t="str">
        <f>Q30&amp;J30</f>
        <v>21</v>
      </c>
      <c r="U30" s="880"/>
      <c r="AD30" s="676">
        <f ca="1">SUM(AF30:AF30)</f>
        <v>132</v>
      </c>
      <c r="AE30" s="829" t="str">
        <f t="shared" si="0"/>
        <v>Argo Sepp</v>
      </c>
      <c r="AF30" s="830">
        <f ca="1">IFERROR(INDEX(Reit!$I:$I,MATCH(AE30,Reit!$F:$F,0)),"")</f>
        <v>132</v>
      </c>
    </row>
    <row r="31" spans="1:32" x14ac:dyDescent="0.2">
      <c r="A31" s="837">
        <v>4</v>
      </c>
      <c r="B31" s="870" t="s">
        <v>267</v>
      </c>
      <c r="C31" s="851">
        <v>4</v>
      </c>
      <c r="D31" s="869">
        <v>13</v>
      </c>
      <c r="E31" s="852">
        <v>13</v>
      </c>
      <c r="F31" s="850"/>
      <c r="G31" s="897">
        <v>13</v>
      </c>
      <c r="H31" s="853" t="str">
        <f>(IF(C31-F28&gt;0,1)+IF(D31-F29&gt;0,1)+IF(E31-F30&gt;0,1)+IF(G31-F32&gt;0,1))&amp;"-"&amp;(IF(C31-F28&lt;0,1)+IF(D31-F29&lt;0,1)+IF(E31-F30&lt;0,1)+IF(G31-F32&lt;0,1))</f>
        <v>3-1</v>
      </c>
      <c r="I31" s="852" t="str">
        <f t="shared" si="2"/>
        <v>D2</v>
      </c>
      <c r="J31" s="866">
        <f>IF(AND(Q31=1,Q28=1,C31&gt;F28),1)+IF(AND(Q31=1,Q29=1,D31&gt;F29),1)+IF(AND(Q31=1,Q30=1,E31&gt;F30),1)+IF(AND(Q31=1,Q32=1,G31&gt;F32),1)+IF(AND(Q31=2,Q28=2,C31&gt;F28),1)+IF(AND(Q31=2,Q29=2,D31&gt;F29),1)+IF(AND(Q31=2,Q30=2,E31&gt;F30),1)+IF(AND(Q31=2,Q32=2,G31&gt;F32),1)+IF(AND(Q31=3,Q28=3,C31&gt;F28),1)+IF(AND(Q31=3,Q29=3,D31&gt;F29),1)+IF(AND(Q31=3,Q30=3,E31&gt;F30),1)+IF(AND(Q31=3,Q32=3,G31&gt;F32),1)</f>
        <v>0</v>
      </c>
      <c r="K31" s="857">
        <f>SUM(AND(T31=T28,C31&gt;F28),AND(T31=T29,D31&gt;F29),AND(T31=T30,E31&gt;F30),AND(T31=T32,G31&gt;F32))</f>
        <v>0</v>
      </c>
      <c r="L31" s="867">
        <f>IF(AND(Q31=1,Q28=1),C31-F28)+IF(AND(Q31=1,Q29=1),D31-F29)+IF(AND(Q31=1,Q30=1),E31-F30)+IF(AND(Q31=1,Q32=1),G31-F32)+IF(AND(Q31=2,Q28=2),C31-F28)+IF(AND(Q31=2,Q29=2),D31-F29)+IF(AND(Q31=2,Q30=2),E31-F30)+IF(AND(Q31=2,Q32=2),G31-F32)+IF(AND(Q31=3,Q28=3),C31-F28)+IF(AND(Q31=3,Q29=3),D31-F29)+IF(AND(Q31=3,Q30=3),E31-F30)+IF(AND(Q31=3,Q32=3),G31-F32)+IF(AND(Q31=4,Q28=4),C31-F28)+IF(AND(Q31=4,Q29=4),D31-F29)+IF(AND(Q31=4,Q30=4),E31-F30)+IF(AND(Q31=4,Q32=4),G31-F32)</f>
        <v>-9</v>
      </c>
      <c r="M31" s="857">
        <f>SUM(AND(R31=R28,C31&gt;F28),AND(R31=R29,D31&gt;F29),AND(R31=R30,E31&gt;F30),AND(R31=R32,G31&gt;F32))</f>
        <v>0</v>
      </c>
      <c r="N31" s="858" t="str">
        <f>SUM(C31:G31)&amp;"-"&amp;SUM(F28:F32)</f>
        <v>43-43</v>
      </c>
      <c r="O31" s="859">
        <f>C31+D31+E31+G31-F28-F29-F30-F32</f>
        <v>0</v>
      </c>
      <c r="P31" s="860">
        <f>SUM(C31:G31,F28:F32)/SUM(F28:F32)</f>
        <v>2</v>
      </c>
      <c r="Q31" s="868">
        <f>VALUE(LEFT(H31,1))</f>
        <v>3</v>
      </c>
      <c r="R31" s="862">
        <f>Q31*100000+J31*10000+K31*1000+100*L31</f>
        <v>299100</v>
      </c>
      <c r="S31" s="896">
        <f>R31+M31*0.1+IF(ISNONTEXT(B31),0,0.01)+0.0001*O31</f>
        <v>299100.01</v>
      </c>
      <c r="T31" s="864" t="str">
        <f>Q31&amp;J31</f>
        <v>30</v>
      </c>
      <c r="U31" s="880"/>
      <c r="AD31" s="676">
        <f ca="1">SUM(AF31:AF31)</f>
        <v>21</v>
      </c>
      <c r="AE31" s="829" t="str">
        <f t="shared" si="0"/>
        <v>Emil Murzajev</v>
      </c>
      <c r="AF31" s="830">
        <f ca="1">IFERROR(INDEX(Reit!$I:$I,MATCH(AE31,Reit!$F:$F,0)),"")</f>
        <v>21</v>
      </c>
    </row>
    <row r="32" spans="1:32" x14ac:dyDescent="0.2">
      <c r="A32" s="837">
        <v>5</v>
      </c>
      <c r="B32" s="870" t="s">
        <v>257</v>
      </c>
      <c r="C32" s="852">
        <v>5</v>
      </c>
      <c r="D32" s="852">
        <v>11</v>
      </c>
      <c r="E32" s="852">
        <v>1</v>
      </c>
      <c r="F32" s="852">
        <v>10</v>
      </c>
      <c r="G32" s="850"/>
      <c r="H32" s="853" t="str">
        <f>(IF(C32-G28&gt;0,1)+IF(D32-G29&gt;0,1)+IF(E32-G30&gt;0,1)+IF(F32-G31&gt;0,1))&amp;"-"&amp;(IF(C32-G28&lt;0,1)+IF(D32-G29&lt;0,1)+IF(E32-G30&lt;0,1)+IF(F32-G31&lt;0,1))</f>
        <v>0-4</v>
      </c>
      <c r="I32" s="852" t="str">
        <f t="shared" si="2"/>
        <v>D5</v>
      </c>
      <c r="J32" s="866">
        <f>IF(AND(Q32=1,Q28=1,C32&gt;G28),1)+IF(AND(Q32=1,Q29=1,D32&gt;G29),1)+IF(AND(Q32=1,Q30=1,E32&gt;G30),1)+IF(AND(Q32=1,Q31=1,F32&gt;G31),1)+IF(AND(Q32=2,Q28=2,C32&gt;G28),1)+IF(AND(Q32=2,Q29=2,D32&gt;G29),1)+IF(AND(Q32=2,Q30=2,E32&gt;G30),1)+IF(AND(Q32=2,Q31=2,F32&gt;G31),1)+IF(AND(Q32=3,Q28=3,C32&gt;G28),1)+IF(AND(Q32=3,Q29=3,D32&gt;G29),1)+IF(AND(Q32=3,Q30=3,E32&gt;G30),1)+IF(AND(Q32=3,Q31=3,F32&gt;G31),1)</f>
        <v>0</v>
      </c>
      <c r="K32" s="857">
        <f>SUM(AND(T32=T28,C32&gt;G28),AND(T32=T29,D32&gt;G29),AND(T32=T30,E32&gt;G30),AND(T32=T31,F32&gt;G31))</f>
        <v>0</v>
      </c>
      <c r="L32" s="867">
        <f>IF(AND(Q32=1,Q28=1),C32-G28)+IF(AND(Q32=1,Q29=1),D32-G29)+IF(AND(Q32=1,Q30=1),E32-G30)+IF(AND(Q32=1,Q31=1),F32-G31)+IF(AND(Q32=2,Q28=2),C32-G28)+IF(AND(Q32=2,Q29=2),D32-G29)+IF(AND(Q32=2,Q30=2),E32-G30)+IF(AND(Q32=2,Q31=2),F32-G31)+IF(AND(Q32=3,Q28=3),C32-G28)+IF(AND(Q32=3,Q29=3),D32-G29)+IF(AND(Q32=3,Q30=3),E32-G30)+IF(AND(Q32=3,Q31=3),F32-G31)+IF(AND(Q32=4,Q28=4),C32-G28)+IF(AND(Q32=4,Q29=4),D32-G29)+IF(AND(Q32=4,Q30=4),E32-G30)+IF(AND(Q32=4,Q31=4),F32-G31)</f>
        <v>0</v>
      </c>
      <c r="M32" s="857">
        <f>SUM(AND(R32=R28,C32&gt;G28),AND(R32=R29,D32&gt;G29),AND(R32=R30,E32&gt;G30),AND(R32=R31,F32&gt;G31))</f>
        <v>0</v>
      </c>
      <c r="N32" s="858" t="str">
        <f>SUM(C32:G32)&amp;"-"&amp;SUM(G28:G32)</f>
        <v>27-52</v>
      </c>
      <c r="O32" s="859">
        <f>C32+D32+E32+F32-G28-G29-G30-G31</f>
        <v>-25</v>
      </c>
      <c r="P32" s="860">
        <f>SUM(C32:G32,G28:G32)/SUM(G28:G32)</f>
        <v>1.5192307692307692</v>
      </c>
      <c r="Q32" s="868">
        <f>VALUE(LEFT(H32,1))</f>
        <v>0</v>
      </c>
      <c r="R32" s="862">
        <f>Q32*100000+J32*10000+K32*1000+100*L32</f>
        <v>0</v>
      </c>
      <c r="S32" s="896">
        <f>R32+M32*0.1+IF(ISNONTEXT(B32),0,0.01)+0.0001*O32</f>
        <v>7.4999999999999997E-3</v>
      </c>
      <c r="T32" s="864" t="str">
        <f>Q32&amp;J32</f>
        <v>00</v>
      </c>
      <c r="U32" s="880"/>
      <c r="AD32" s="676">
        <f ca="1">SUM(AF32:AF32)</f>
        <v>46</v>
      </c>
      <c r="AE32" s="829" t="str">
        <f t="shared" si="0"/>
        <v>Liidia Põllu</v>
      </c>
      <c r="AF32" s="830">
        <f ca="1">IFERROR(INDEX(Reit!$I:$I,MATCH(AE32,Reit!$F:$F,0)),"")</f>
        <v>46</v>
      </c>
    </row>
    <row r="33" spans="1:21" hidden="1" x14ac:dyDescent="0.2">
      <c r="A33" s="898"/>
      <c r="B33" s="903"/>
      <c r="C33" s="903"/>
      <c r="D33" s="903"/>
      <c r="E33" s="903"/>
      <c r="F33" s="900"/>
      <c r="G33" s="903"/>
      <c r="H33" s="947"/>
      <c r="I33" s="948"/>
      <c r="J33" s="880"/>
      <c r="K33" s="880"/>
      <c r="L33" s="880"/>
      <c r="M33" s="880"/>
      <c r="N33" s="880"/>
      <c r="O33" s="880"/>
      <c r="P33" s="880"/>
      <c r="Q33" s="880"/>
      <c r="R33" s="894" t="s">
        <v>517</v>
      </c>
      <c r="S33" s="880"/>
      <c r="T33" s="880"/>
      <c r="U33" s="880"/>
    </row>
    <row r="34" spans="1:21" hidden="1" x14ac:dyDescent="0.2">
      <c r="P34" s="895" t="s">
        <v>488</v>
      </c>
      <c r="Q34" s="846" t="s">
        <v>312</v>
      </c>
      <c r="R34" s="846" t="b">
        <f>OR(AND(COUNTA(B35:B39)=3,COUNTA(C35:G39)=6),AND(COUNTA(B35:B39)=4,COUNTA(C35:G39)=12),AND(COUNTA(B35:B39)=5,COUNTA(C35:G39)=20))</f>
        <v>0</v>
      </c>
      <c r="S34" s="847" t="s">
        <v>489</v>
      </c>
      <c r="T34" s="848" t="s">
        <v>490</v>
      </c>
      <c r="U34" s="880"/>
    </row>
    <row r="35" spans="1:21" hidden="1" x14ac:dyDescent="0.2">
      <c r="P35" s="860" t="e">
        <f>SUM(C35:G35,C35:C39)/SUM(C35:C39)</f>
        <v>#DIV/0!</v>
      </c>
      <c r="Q35" s="861" t="e">
        <f>VALUE(LEFT(H35,1))</f>
        <v>#VALUE!</v>
      </c>
      <c r="R35" s="862" t="e">
        <f>Q35*100000+J35*10000+K35*1000+100*L35</f>
        <v>#VALUE!</v>
      </c>
      <c r="S35" s="896" t="e">
        <f>R35+M35*0.1+IF(ISNONTEXT(B35),0,0.01)+0.0001*O35</f>
        <v>#VALUE!</v>
      </c>
      <c r="T35" s="864" t="e">
        <f>Q35&amp;J35</f>
        <v>#VALUE!</v>
      </c>
      <c r="U35" s="880"/>
    </row>
    <row r="36" spans="1:21" hidden="1" x14ac:dyDescent="0.2">
      <c r="P36" s="860" t="e">
        <f>SUM(C36:G36,D35:D39)/SUM(D35:D39)</f>
        <v>#DIV/0!</v>
      </c>
      <c r="Q36" s="868" t="e">
        <f>VALUE(LEFT(H36,1))</f>
        <v>#VALUE!</v>
      </c>
      <c r="R36" s="862" t="e">
        <f>Q36*100000+J36*10000+K36*1000+100*L36</f>
        <v>#VALUE!</v>
      </c>
      <c r="S36" s="896" t="e">
        <f>R36+M36*0.1+IF(ISNONTEXT(B36),0,0.01)+0.0001*O36</f>
        <v>#VALUE!</v>
      </c>
      <c r="T36" s="864" t="e">
        <f>Q36&amp;J36</f>
        <v>#VALUE!</v>
      </c>
      <c r="U36" s="880"/>
    </row>
    <row r="37" spans="1:21" hidden="1" x14ac:dyDescent="0.2">
      <c r="P37" s="860" t="e">
        <f>SUM(C37:G37,E35:E39)/SUM(E35:E39)</f>
        <v>#DIV/0!</v>
      </c>
      <c r="Q37" s="868" t="e">
        <f>VALUE(LEFT(H37,1))</f>
        <v>#VALUE!</v>
      </c>
      <c r="R37" s="862" t="e">
        <f>Q37*100000+J37*10000+K37*1000+100*L37</f>
        <v>#VALUE!</v>
      </c>
      <c r="S37" s="896" t="e">
        <f>R37+M37*0.1+IF(ISNONTEXT(B37),0,0.01)+0.0001*O37</f>
        <v>#VALUE!</v>
      </c>
      <c r="T37" s="864" t="e">
        <f>Q37&amp;J37</f>
        <v>#VALUE!</v>
      </c>
      <c r="U37" s="880"/>
    </row>
    <row r="38" spans="1:21" hidden="1" x14ac:dyDescent="0.2">
      <c r="P38" s="860" t="e">
        <f>SUM(C38:G38,F35:F39)/SUM(F35:F39)</f>
        <v>#DIV/0!</v>
      </c>
      <c r="Q38" s="868" t="e">
        <f>VALUE(LEFT(H38,1))</f>
        <v>#VALUE!</v>
      </c>
      <c r="R38" s="862" t="e">
        <f>Q38*100000+J38*10000+K38*1000+100*L38</f>
        <v>#VALUE!</v>
      </c>
      <c r="S38" s="896" t="e">
        <f>R38+M38*0.1+IF(ISNONTEXT(B38),0,0.01)+0.0001*O38</f>
        <v>#VALUE!</v>
      </c>
      <c r="T38" s="864" t="e">
        <f>Q38&amp;J38</f>
        <v>#VALUE!</v>
      </c>
      <c r="U38" s="880"/>
    </row>
    <row r="39" spans="1:21" hidden="1" x14ac:dyDescent="0.2">
      <c r="P39" s="860" t="e">
        <f>SUM(C39:G39,G35:G39)/SUM(G35:G39)</f>
        <v>#DIV/0!</v>
      </c>
      <c r="Q39" s="868" t="e">
        <f>VALUE(LEFT(H39,1))</f>
        <v>#VALUE!</v>
      </c>
      <c r="R39" s="862" t="e">
        <f>Q39*100000+J39*10000+K39*1000+100*L39</f>
        <v>#VALUE!</v>
      </c>
      <c r="S39" s="896" t="e">
        <f>R39+M39*0.1+IF(ISNONTEXT(B39),0,0.01)+0.0001*O39</f>
        <v>#VALUE!</v>
      </c>
      <c r="T39" s="864" t="e">
        <f>Q39&amp;J39</f>
        <v>#VALUE!</v>
      </c>
      <c r="U39" s="880"/>
    </row>
    <row r="40" spans="1:21" hidden="1" x14ac:dyDescent="0.2">
      <c r="P40" s="880"/>
      <c r="Q40" s="880"/>
      <c r="R40" s="894" t="s">
        <v>517</v>
      </c>
      <c r="S40" s="880"/>
      <c r="T40" s="880"/>
      <c r="U40" s="880"/>
    </row>
    <row r="41" spans="1:21" hidden="1" x14ac:dyDescent="0.2">
      <c r="P41" s="895" t="s">
        <v>488</v>
      </c>
      <c r="Q41" s="846" t="s">
        <v>312</v>
      </c>
      <c r="R41" s="846" t="b">
        <f>OR(AND(COUNTA(B42:B46)=3,COUNTA(C42:G46)=6),AND(COUNTA(B42:B46)=4,COUNTA(C42:G46)=12),AND(COUNTA(B42:B46)=5,COUNTA(C42:G46)=20))</f>
        <v>0</v>
      </c>
      <c r="S41" s="847" t="s">
        <v>489</v>
      </c>
      <c r="T41" s="848" t="s">
        <v>490</v>
      </c>
      <c r="U41" s="880"/>
    </row>
    <row r="42" spans="1:21" hidden="1" x14ac:dyDescent="0.2">
      <c r="P42" s="860" t="e">
        <f>SUM(C42:G42,C42:C46)/SUM(C42:C46)</f>
        <v>#DIV/0!</v>
      </c>
      <c r="Q42" s="861" t="e">
        <f>VALUE(LEFT(H42,1))</f>
        <v>#VALUE!</v>
      </c>
      <c r="R42" s="862" t="e">
        <f>Q42*100000+J42*10000+K42*1000+100*L42</f>
        <v>#VALUE!</v>
      </c>
      <c r="S42" s="896" t="e">
        <f>R42+M42*0.1+IF(ISNONTEXT(B42),0,0.01)+0.0001*O42</f>
        <v>#VALUE!</v>
      </c>
      <c r="T42" s="864" t="e">
        <f>Q42&amp;J42</f>
        <v>#VALUE!</v>
      </c>
      <c r="U42" s="880"/>
    </row>
    <row r="43" spans="1:21" hidden="1" x14ac:dyDescent="0.2">
      <c r="P43" s="860" t="e">
        <f>SUM(C43:G43,D42:D46)/SUM(D42:D46)</f>
        <v>#DIV/0!</v>
      </c>
      <c r="Q43" s="868" t="e">
        <f>VALUE(LEFT(H43,1))</f>
        <v>#VALUE!</v>
      </c>
      <c r="R43" s="862" t="e">
        <f>Q43*100000+J43*10000+K43*1000+100*L43</f>
        <v>#VALUE!</v>
      </c>
      <c r="S43" s="896" t="e">
        <f>R43+M43*0.1+IF(ISNONTEXT(B43),0,0.01)+0.0001*O43</f>
        <v>#VALUE!</v>
      </c>
      <c r="T43" s="864" t="e">
        <f>Q43&amp;J43</f>
        <v>#VALUE!</v>
      </c>
      <c r="U43" s="880"/>
    </row>
    <row r="44" spans="1:21" hidden="1" x14ac:dyDescent="0.2">
      <c r="P44" s="860" t="e">
        <f>SUM(C44:G44,E42:E46)/SUM(E42:E46)</f>
        <v>#DIV/0!</v>
      </c>
      <c r="Q44" s="868" t="e">
        <f>VALUE(LEFT(H44,1))</f>
        <v>#VALUE!</v>
      </c>
      <c r="R44" s="862" t="e">
        <f>Q44*100000+J44*10000+K44*1000+100*L44</f>
        <v>#VALUE!</v>
      </c>
      <c r="S44" s="896" t="e">
        <f>R44+M44*0.1+IF(ISNONTEXT(B44),0,0.01)+0.0001*O44</f>
        <v>#VALUE!</v>
      </c>
      <c r="T44" s="864" t="e">
        <f>Q44&amp;J44</f>
        <v>#VALUE!</v>
      </c>
      <c r="U44" s="880"/>
    </row>
    <row r="45" spans="1:21" hidden="1" x14ac:dyDescent="0.2">
      <c r="P45" s="860" t="e">
        <f>SUM(C45:G45,F42:F46)/SUM(F42:F46)</f>
        <v>#DIV/0!</v>
      </c>
      <c r="Q45" s="868" t="e">
        <f>VALUE(LEFT(H45,1))</f>
        <v>#VALUE!</v>
      </c>
      <c r="R45" s="862" t="e">
        <f>Q45*100000+J45*10000+K45*1000+100*L45</f>
        <v>#VALUE!</v>
      </c>
      <c r="S45" s="896" t="e">
        <f>R45+M45*0.1+IF(ISNONTEXT(B45),0,0.01)+0.0001*O45</f>
        <v>#VALUE!</v>
      </c>
      <c r="T45" s="864" t="e">
        <f>Q45&amp;J45</f>
        <v>#VALUE!</v>
      </c>
      <c r="U45" s="880"/>
    </row>
    <row r="46" spans="1:21" hidden="1" x14ac:dyDescent="0.2">
      <c r="P46" s="860" t="e">
        <f>SUM(C46:G46,G42:G46)/SUM(G42:G46)</f>
        <v>#DIV/0!</v>
      </c>
      <c r="Q46" s="868" t="e">
        <f>VALUE(LEFT(H46,1))</f>
        <v>#VALUE!</v>
      </c>
      <c r="R46" s="862" t="e">
        <f>Q46*100000+J46*10000+K46*1000+100*L46</f>
        <v>#VALUE!</v>
      </c>
      <c r="S46" s="896" t="e">
        <f>R46+M46*0.1+IF(ISNONTEXT(B46),0,0.01)+0.0001*O46</f>
        <v>#VALUE!</v>
      </c>
      <c r="T46" s="864" t="e">
        <f>Q46&amp;J46</f>
        <v>#VALUE!</v>
      </c>
      <c r="U46" s="880"/>
    </row>
    <row r="47" spans="1:21" hidden="1" x14ac:dyDescent="0.2">
      <c r="P47" s="880"/>
      <c r="Q47" s="880"/>
      <c r="R47" s="894" t="s">
        <v>517</v>
      </c>
      <c r="S47" s="880"/>
      <c r="T47" s="880"/>
      <c r="U47" s="880"/>
    </row>
    <row r="48" spans="1:21" hidden="1" x14ac:dyDescent="0.2">
      <c r="P48" s="895" t="s">
        <v>488</v>
      </c>
      <c r="Q48" s="846" t="s">
        <v>312</v>
      </c>
      <c r="R48" s="846" t="b">
        <f>OR(AND(COUNTA(B49:B53)=3,COUNTA(C49:G53)=6),AND(COUNTA(B49:B53)=4,COUNTA(C49:G53)=12),AND(COUNTA(B49:B53)=5,COUNTA(C49:G53)=20))</f>
        <v>0</v>
      </c>
      <c r="S48" s="847" t="s">
        <v>489</v>
      </c>
      <c r="T48" s="848" t="s">
        <v>490</v>
      </c>
      <c r="U48" s="880"/>
    </row>
    <row r="49" spans="1:21" hidden="1" x14ac:dyDescent="0.2">
      <c r="P49" s="860" t="e">
        <f>SUM(C49:G49,C49:C53)/SUM(C49:C53)</f>
        <v>#DIV/0!</v>
      </c>
      <c r="Q49" s="861" t="e">
        <f>VALUE(LEFT(H49,1))</f>
        <v>#VALUE!</v>
      </c>
      <c r="R49" s="862" t="e">
        <f>Q49*100000+J49*10000+K49*1000+100*L49</f>
        <v>#VALUE!</v>
      </c>
      <c r="S49" s="896" t="e">
        <f>R49+M49*0.1+IF(ISNONTEXT(B49),0,0.01)+0.0001*O49</f>
        <v>#VALUE!</v>
      </c>
      <c r="T49" s="864" t="e">
        <f>Q49&amp;J49</f>
        <v>#VALUE!</v>
      </c>
      <c r="U49" s="880"/>
    </row>
    <row r="50" spans="1:21" hidden="1" x14ac:dyDescent="0.2">
      <c r="P50" s="860" t="e">
        <f>SUM(C50:G50,D49:D53)/SUM(D49:D53)</f>
        <v>#DIV/0!</v>
      </c>
      <c r="Q50" s="868" t="e">
        <f>VALUE(LEFT(H50,1))</f>
        <v>#VALUE!</v>
      </c>
      <c r="R50" s="862" t="e">
        <f>Q50*100000+J50*10000+K50*1000+100*L50</f>
        <v>#VALUE!</v>
      </c>
      <c r="S50" s="896" t="e">
        <f>R50+M50*0.1+IF(ISNONTEXT(B50),0,0.01)+0.0001*O50</f>
        <v>#VALUE!</v>
      </c>
      <c r="T50" s="864" t="e">
        <f>Q50&amp;J50</f>
        <v>#VALUE!</v>
      </c>
      <c r="U50" s="880"/>
    </row>
    <row r="51" spans="1:21" hidden="1" x14ac:dyDescent="0.2">
      <c r="P51" s="860" t="e">
        <f>SUM(C51:G51,E49:E53)/SUM(E49:E53)</f>
        <v>#DIV/0!</v>
      </c>
      <c r="Q51" s="868" t="e">
        <f>VALUE(LEFT(H51,1))</f>
        <v>#VALUE!</v>
      </c>
      <c r="R51" s="862" t="e">
        <f>Q51*100000+J51*10000+K51*1000+100*L51</f>
        <v>#VALUE!</v>
      </c>
      <c r="S51" s="896" t="e">
        <f>R51+M51*0.1+IF(ISNONTEXT(B51),0,0.01)+0.0001*O51</f>
        <v>#VALUE!</v>
      </c>
      <c r="T51" s="864" t="e">
        <f>Q51&amp;J51</f>
        <v>#VALUE!</v>
      </c>
      <c r="U51" s="880"/>
    </row>
    <row r="52" spans="1:21" hidden="1" x14ac:dyDescent="0.2">
      <c r="P52" s="860" t="e">
        <f>SUM(C52:G52,F49:F53)/SUM(F49:F53)</f>
        <v>#DIV/0!</v>
      </c>
      <c r="Q52" s="868" t="e">
        <f>VALUE(LEFT(H52,1))</f>
        <v>#VALUE!</v>
      </c>
      <c r="R52" s="862" t="e">
        <f>Q52*100000+J52*10000+K52*1000+100*L52</f>
        <v>#VALUE!</v>
      </c>
      <c r="S52" s="896" t="e">
        <f>R52+M52*0.1+IF(ISNONTEXT(B52),0,0.01)+0.0001*O52</f>
        <v>#VALUE!</v>
      </c>
      <c r="T52" s="864" t="e">
        <f>Q52&amp;J52</f>
        <v>#VALUE!</v>
      </c>
      <c r="U52" s="880"/>
    </row>
    <row r="53" spans="1:21" hidden="1" x14ac:dyDescent="0.2">
      <c r="P53" s="860" t="e">
        <f>SUM(C53:G53,G49:G53)/SUM(G49:G53)</f>
        <v>#DIV/0!</v>
      </c>
      <c r="Q53" s="868" t="e">
        <f>VALUE(LEFT(H53,1))</f>
        <v>#VALUE!</v>
      </c>
      <c r="R53" s="862" t="e">
        <f>Q53*100000+J53*10000+K53*1000+100*L53</f>
        <v>#VALUE!</v>
      </c>
      <c r="S53" s="896" t="e">
        <f>R53+M53*0.1+IF(ISNONTEXT(B53),0,0.01)+0.0001*O53</f>
        <v>#VALUE!</v>
      </c>
      <c r="T53" s="864" t="e">
        <f>Q53&amp;J53</f>
        <v>#VALUE!</v>
      </c>
      <c r="U53" s="880"/>
    </row>
    <row r="54" spans="1:21" hidden="1" x14ac:dyDescent="0.2">
      <c r="P54" s="880"/>
      <c r="Q54" s="880"/>
      <c r="R54" s="894" t="s">
        <v>517</v>
      </c>
      <c r="S54" s="880"/>
      <c r="T54" s="880"/>
      <c r="U54" s="880"/>
    </row>
    <row r="55" spans="1:21" hidden="1" x14ac:dyDescent="0.2">
      <c r="P55" s="895" t="s">
        <v>488</v>
      </c>
      <c r="Q55" s="846" t="s">
        <v>312</v>
      </c>
      <c r="R55" s="846" t="b">
        <f>OR(AND(COUNTA(B56:B60)=3,COUNTA(C56:G60)=6),AND(COUNTA(B56:B60)=4,COUNTA(C56:G60)=12),AND(COUNTA(B56:B60)=5,COUNTA(C56:G60)=20))</f>
        <v>0</v>
      </c>
      <c r="S55" s="847" t="s">
        <v>489</v>
      </c>
      <c r="T55" s="848" t="s">
        <v>490</v>
      </c>
      <c r="U55" s="880"/>
    </row>
    <row r="56" spans="1:21" hidden="1" x14ac:dyDescent="0.2">
      <c r="P56" s="860" t="e">
        <f>SUM(C56:G56,C56:C60)/SUM(C56:C60)</f>
        <v>#DIV/0!</v>
      </c>
      <c r="Q56" s="861" t="e">
        <f>VALUE(LEFT(H56,1))</f>
        <v>#VALUE!</v>
      </c>
      <c r="R56" s="862" t="e">
        <f>Q56*100000+J56*10000+K56*1000+100*L56</f>
        <v>#VALUE!</v>
      </c>
      <c r="S56" s="896" t="e">
        <f>R56+M56*0.1+IF(ISNONTEXT(B56),0,0.01)+0.0001*O56</f>
        <v>#VALUE!</v>
      </c>
      <c r="T56" s="864" t="e">
        <f>Q56&amp;J56</f>
        <v>#VALUE!</v>
      </c>
      <c r="U56" s="880"/>
    </row>
    <row r="57" spans="1:21" hidden="1" x14ac:dyDescent="0.2">
      <c r="P57" s="860" t="e">
        <f>SUM(C57:G57,D56:D60)/SUM(D56:D60)</f>
        <v>#DIV/0!</v>
      </c>
      <c r="Q57" s="868" t="e">
        <f>VALUE(LEFT(H57,1))</f>
        <v>#VALUE!</v>
      </c>
      <c r="R57" s="862" t="e">
        <f>Q57*100000+J57*10000+K57*1000+100*L57</f>
        <v>#VALUE!</v>
      </c>
      <c r="S57" s="896" t="e">
        <f>R57+M57*0.1+IF(ISNONTEXT(B57),0,0.01)+0.0001*O57</f>
        <v>#VALUE!</v>
      </c>
      <c r="T57" s="864" t="e">
        <f>Q57&amp;J57</f>
        <v>#VALUE!</v>
      </c>
      <c r="U57" s="880"/>
    </row>
    <row r="58" spans="1:21" hidden="1" x14ac:dyDescent="0.2">
      <c r="P58" s="860" t="e">
        <f>SUM(C58:G58,E56:E60)/SUM(E56:E60)</f>
        <v>#DIV/0!</v>
      </c>
      <c r="Q58" s="868" t="e">
        <f>VALUE(LEFT(H58,1))</f>
        <v>#VALUE!</v>
      </c>
      <c r="R58" s="862" t="e">
        <f>Q58*100000+J58*10000+K58*1000+100*L58</f>
        <v>#VALUE!</v>
      </c>
      <c r="S58" s="896" t="e">
        <f>R58+M58*0.1+IF(ISNONTEXT(B58),0,0.01)+0.0001*O58</f>
        <v>#VALUE!</v>
      </c>
      <c r="T58" s="864" t="e">
        <f>Q58&amp;J58</f>
        <v>#VALUE!</v>
      </c>
      <c r="U58" s="880"/>
    </row>
    <row r="59" spans="1:21" hidden="1" x14ac:dyDescent="0.2">
      <c r="P59" s="860" t="e">
        <f>SUM(C59:G59,F56:F60)/SUM(F56:F60)</f>
        <v>#DIV/0!</v>
      </c>
      <c r="Q59" s="868" t="e">
        <f>VALUE(LEFT(H59,1))</f>
        <v>#VALUE!</v>
      </c>
      <c r="R59" s="862" t="e">
        <f>Q59*100000+J59*10000+K59*1000+100*L59</f>
        <v>#VALUE!</v>
      </c>
      <c r="S59" s="896" t="e">
        <f>R59+M59*0.1+IF(ISNONTEXT(B59),0,0.01)+0.0001*O59</f>
        <v>#VALUE!</v>
      </c>
      <c r="T59" s="864" t="e">
        <f>Q59&amp;J59</f>
        <v>#VALUE!</v>
      </c>
      <c r="U59" s="880"/>
    </row>
    <row r="60" spans="1:21" hidden="1" x14ac:dyDescent="0.2">
      <c r="P60" s="860" t="e">
        <f>SUM(C60:G60,G56:G60)/SUM(G56:G60)</f>
        <v>#DIV/0!</v>
      </c>
      <c r="Q60" s="868" t="e">
        <f>VALUE(LEFT(H60,1))</f>
        <v>#VALUE!</v>
      </c>
      <c r="R60" s="862" t="e">
        <f>Q60*100000+J60*10000+K60*1000+100*L60</f>
        <v>#VALUE!</v>
      </c>
      <c r="S60" s="896" t="e">
        <f>R60+M60*0.1+IF(ISNONTEXT(B60),0,0.01)+0.0001*O60</f>
        <v>#VALUE!</v>
      </c>
      <c r="T60" s="864" t="e">
        <f>Q60&amp;J60</f>
        <v>#VALUE!</v>
      </c>
      <c r="U60" s="880"/>
    </row>
    <row r="61" spans="1:21" hidden="1" x14ac:dyDescent="0.2">
      <c r="A61" s="903"/>
      <c r="B61" s="903"/>
      <c r="C61" s="903"/>
      <c r="D61" s="903"/>
      <c r="E61" s="903"/>
      <c r="F61" s="903"/>
      <c r="G61" s="903"/>
      <c r="H61" s="903"/>
      <c r="I61" s="903"/>
      <c r="J61" s="903"/>
      <c r="K61" s="880"/>
      <c r="L61" s="903"/>
      <c r="M61" s="880"/>
      <c r="N61" s="903"/>
      <c r="O61" s="893"/>
      <c r="P61" s="880"/>
      <c r="Q61" s="880"/>
      <c r="R61" s="880"/>
      <c r="S61" s="880"/>
      <c r="T61" s="880"/>
      <c r="U61" s="880"/>
    </row>
    <row r="62" spans="1:21" hidden="1" x14ac:dyDescent="0.2">
      <c r="A62" s="903"/>
      <c r="B62" s="905" t="s">
        <v>369</v>
      </c>
      <c r="C62" s="906" t="s">
        <v>506</v>
      </c>
      <c r="D62" s="907"/>
      <c r="E62" s="903"/>
      <c r="F62" s="880"/>
      <c r="G62" s="903"/>
      <c r="H62" s="903"/>
      <c r="I62" s="903"/>
      <c r="J62" s="903"/>
      <c r="K62" s="880"/>
      <c r="L62" s="903"/>
      <c r="M62" s="880"/>
      <c r="N62" s="903"/>
      <c r="O62" s="893"/>
      <c r="P62" s="880"/>
      <c r="Q62" s="880"/>
      <c r="R62" s="880"/>
      <c r="S62" s="880"/>
      <c r="T62" s="880"/>
      <c r="U62" s="880"/>
    </row>
    <row r="63" spans="1:21" hidden="1" x14ac:dyDescent="0.2">
      <c r="A63" s="903"/>
      <c r="B63" s="905" t="s">
        <v>370</v>
      </c>
      <c r="C63" s="906" t="s">
        <v>509</v>
      </c>
      <c r="D63" s="903"/>
      <c r="E63" s="903"/>
      <c r="F63" s="880"/>
      <c r="G63" s="903"/>
      <c r="H63" s="903"/>
      <c r="I63" s="903"/>
      <c r="J63" s="903"/>
      <c r="K63" s="880"/>
      <c r="L63" s="903"/>
      <c r="M63" s="880"/>
      <c r="N63" s="903"/>
      <c r="O63" s="893"/>
      <c r="P63" s="880"/>
      <c r="Q63" s="880"/>
      <c r="R63" s="880"/>
      <c r="S63" s="880"/>
      <c r="T63" s="880"/>
      <c r="U63" s="880"/>
    </row>
    <row r="64" spans="1:21" hidden="1" x14ac:dyDescent="0.2">
      <c r="A64" s="903"/>
      <c r="B64" s="905" t="s">
        <v>371</v>
      </c>
      <c r="C64" s="906" t="s">
        <v>504</v>
      </c>
      <c r="D64" s="903"/>
      <c r="E64" s="903"/>
      <c r="F64" s="880"/>
      <c r="G64" s="903"/>
      <c r="H64" s="903"/>
      <c r="I64" s="903"/>
      <c r="J64" s="903"/>
      <c r="K64" s="880"/>
      <c r="L64" s="903"/>
      <c r="M64" s="880"/>
      <c r="N64" s="903"/>
      <c r="O64" s="893"/>
      <c r="P64" s="880"/>
      <c r="Q64" s="880"/>
      <c r="R64" s="880"/>
      <c r="S64" s="880"/>
      <c r="T64" s="880"/>
      <c r="U64" s="880"/>
    </row>
    <row r="65" spans="1:21" hidden="1" x14ac:dyDescent="0.2">
      <c r="A65" s="903"/>
      <c r="B65" s="903"/>
      <c r="C65" s="903"/>
      <c r="D65" s="903"/>
      <c r="E65" s="903"/>
      <c r="F65" s="903"/>
      <c r="G65" s="903"/>
      <c r="H65" s="903"/>
      <c r="I65" s="903"/>
      <c r="J65" s="903"/>
      <c r="K65" s="880"/>
      <c r="L65" s="903"/>
      <c r="M65" s="880"/>
      <c r="N65" s="903"/>
      <c r="O65" s="893"/>
      <c r="P65" s="880"/>
      <c r="Q65" s="880"/>
      <c r="R65" s="880"/>
      <c r="S65" s="880"/>
      <c r="T65" s="880"/>
      <c r="U65" s="880"/>
    </row>
    <row r="66" spans="1:21" hidden="1" x14ac:dyDescent="0.2">
      <c r="A66" s="903"/>
      <c r="B66" s="905" t="s">
        <v>369</v>
      </c>
      <c r="C66" s="906" t="s">
        <v>503</v>
      </c>
      <c r="D66" s="906" t="s">
        <v>504</v>
      </c>
      <c r="E66" s="903"/>
      <c r="F66" s="903"/>
      <c r="G66" s="903"/>
      <c r="H66" s="903"/>
      <c r="I66" s="903"/>
      <c r="J66" s="903"/>
      <c r="K66" s="880"/>
      <c r="L66" s="903"/>
      <c r="M66" s="880"/>
      <c r="N66" s="903"/>
      <c r="O66" s="893"/>
      <c r="P66" s="880"/>
      <c r="Q66" s="880"/>
      <c r="R66" s="880"/>
      <c r="S66" s="880"/>
      <c r="T66" s="880"/>
      <c r="U66" s="880"/>
    </row>
    <row r="67" spans="1:21" hidden="1" x14ac:dyDescent="0.2">
      <c r="A67" s="903"/>
      <c r="B67" s="905" t="s">
        <v>370</v>
      </c>
      <c r="C67" s="906" t="s">
        <v>506</v>
      </c>
      <c r="D67" s="906" t="s">
        <v>501</v>
      </c>
      <c r="E67" s="903"/>
      <c r="F67" s="903"/>
      <c r="G67" s="903"/>
      <c r="H67" s="903"/>
      <c r="I67" s="903"/>
      <c r="J67" s="903"/>
      <c r="K67" s="880"/>
      <c r="L67" s="903"/>
      <c r="M67" s="880"/>
      <c r="N67" s="903"/>
      <c r="O67" s="893"/>
      <c r="P67" s="880"/>
      <c r="Q67" s="880"/>
      <c r="R67" s="880"/>
      <c r="S67" s="880"/>
      <c r="T67" s="880"/>
      <c r="U67" s="880"/>
    </row>
    <row r="68" spans="1:21" hidden="1" x14ac:dyDescent="0.2">
      <c r="A68" s="903"/>
      <c r="B68" s="905" t="s">
        <v>371</v>
      </c>
      <c r="C68" s="906" t="s">
        <v>509</v>
      </c>
      <c r="D68" s="906" t="s">
        <v>499</v>
      </c>
      <c r="E68" s="903"/>
      <c r="F68" s="903"/>
      <c r="G68" s="903"/>
      <c r="H68" s="903"/>
      <c r="I68" s="903"/>
      <c r="J68" s="903"/>
      <c r="K68" s="880"/>
      <c r="L68" s="903"/>
      <c r="M68" s="880"/>
      <c r="N68" s="903"/>
      <c r="O68" s="893"/>
      <c r="P68" s="880"/>
      <c r="Q68" s="880"/>
      <c r="R68" s="880"/>
      <c r="S68" s="880"/>
      <c r="T68" s="880"/>
      <c r="U68" s="880"/>
    </row>
    <row r="69" spans="1:21" x14ac:dyDescent="0.2">
      <c r="A69" s="903"/>
      <c r="B69" s="908"/>
      <c r="C69" s="902"/>
      <c r="D69" s="902"/>
      <c r="E69" s="903"/>
      <c r="F69" s="903"/>
      <c r="G69" s="903"/>
      <c r="H69" s="903"/>
      <c r="I69" s="903"/>
      <c r="J69" s="903"/>
      <c r="K69" s="880"/>
      <c r="L69" s="903"/>
      <c r="M69" s="880"/>
      <c r="N69" s="903"/>
      <c r="O69" s="893"/>
      <c r="P69" s="880"/>
      <c r="Q69" s="880"/>
      <c r="R69" s="880"/>
      <c r="S69" s="880"/>
      <c r="T69" s="880"/>
      <c r="U69" s="880"/>
    </row>
    <row r="70" spans="1:21" x14ac:dyDescent="0.2">
      <c r="A70" s="903"/>
      <c r="B70" s="905" t="s">
        <v>369</v>
      </c>
      <c r="C70" s="906" t="s">
        <v>500</v>
      </c>
      <c r="D70" s="906" t="s">
        <v>501</v>
      </c>
      <c r="E70" s="903"/>
      <c r="F70" s="880"/>
      <c r="G70" s="880"/>
      <c r="H70" s="903"/>
      <c r="I70" s="903"/>
      <c r="J70" s="903"/>
      <c r="K70" s="880"/>
      <c r="L70" s="903"/>
      <c r="M70" s="880"/>
      <c r="N70" s="903"/>
      <c r="O70" s="893"/>
      <c r="P70" s="880"/>
      <c r="Q70" s="880"/>
      <c r="R70" s="880"/>
      <c r="S70" s="880"/>
      <c r="T70" s="880"/>
      <c r="U70" s="880"/>
    </row>
    <row r="71" spans="1:21" x14ac:dyDescent="0.2">
      <c r="A71" s="903"/>
      <c r="B71" s="905" t="s">
        <v>370</v>
      </c>
      <c r="C71" s="906" t="s">
        <v>503</v>
      </c>
      <c r="D71" s="906" t="s">
        <v>504</v>
      </c>
      <c r="E71" s="903"/>
      <c r="F71" s="880"/>
      <c r="G71" s="880"/>
      <c r="H71" s="880"/>
      <c r="I71" s="903"/>
      <c r="J71" s="903"/>
      <c r="K71" s="880"/>
      <c r="L71" s="903"/>
      <c r="M71" s="880"/>
      <c r="N71" s="903"/>
      <c r="O71" s="893"/>
      <c r="P71" s="880"/>
      <c r="Q71" s="880"/>
      <c r="R71" s="880"/>
      <c r="S71" s="880"/>
      <c r="T71" s="880"/>
      <c r="U71" s="880"/>
    </row>
    <row r="72" spans="1:21" x14ac:dyDescent="0.2">
      <c r="A72" s="903"/>
      <c r="B72" s="905" t="s">
        <v>371</v>
      </c>
      <c r="C72" s="906" t="s">
        <v>506</v>
      </c>
      <c r="D72" s="906" t="s">
        <v>508</v>
      </c>
      <c r="E72" s="903"/>
      <c r="F72" s="880"/>
      <c r="G72" s="880"/>
      <c r="H72" s="903"/>
      <c r="I72" s="903"/>
      <c r="J72" s="903"/>
      <c r="K72" s="880"/>
      <c r="L72" s="903"/>
      <c r="M72" s="880"/>
      <c r="N72" s="903"/>
      <c r="O72" s="893"/>
      <c r="P72" s="880"/>
      <c r="Q72" s="880"/>
      <c r="R72" s="880"/>
      <c r="S72" s="880"/>
      <c r="T72" s="880"/>
      <c r="U72" s="880"/>
    </row>
    <row r="73" spans="1:21" x14ac:dyDescent="0.2">
      <c r="A73" s="903"/>
      <c r="B73" s="905" t="s">
        <v>372</v>
      </c>
      <c r="C73" s="879" t="s">
        <v>509</v>
      </c>
      <c r="D73" s="906" t="s">
        <v>510</v>
      </c>
      <c r="E73" s="903"/>
      <c r="F73" s="880"/>
      <c r="G73" s="880"/>
      <c r="H73" s="903"/>
      <c r="I73" s="903"/>
      <c r="J73" s="903"/>
      <c r="K73" s="880"/>
      <c r="L73" s="903"/>
      <c r="M73" s="880"/>
      <c r="N73" s="903"/>
      <c r="O73" s="893"/>
      <c r="P73" s="880"/>
      <c r="Q73" s="880"/>
      <c r="R73" s="880"/>
      <c r="S73" s="880"/>
      <c r="T73" s="880"/>
      <c r="U73" s="880"/>
    </row>
    <row r="74" spans="1:21" x14ac:dyDescent="0.2">
      <c r="A74" s="903"/>
      <c r="B74" s="905" t="s">
        <v>373</v>
      </c>
      <c r="C74" s="906" t="s">
        <v>498</v>
      </c>
      <c r="D74" s="906" t="s">
        <v>499</v>
      </c>
      <c r="E74" s="903"/>
      <c r="F74" s="880"/>
      <c r="G74" s="880"/>
      <c r="H74" s="903"/>
      <c r="I74" s="903"/>
      <c r="J74" s="903"/>
      <c r="K74" s="880"/>
      <c r="L74" s="903"/>
      <c r="M74" s="880"/>
      <c r="N74" s="903"/>
      <c r="O74" s="893"/>
      <c r="P74" s="880"/>
      <c r="Q74" s="880"/>
      <c r="R74" s="880"/>
      <c r="S74" s="880"/>
      <c r="T74" s="880"/>
      <c r="U74" s="880"/>
    </row>
    <row r="75" spans="1:21" hidden="1" x14ac:dyDescent="0.2"/>
    <row r="76" spans="1:21" hidden="1" x14ac:dyDescent="0.2"/>
    <row r="77" spans="1:21" hidden="1" x14ac:dyDescent="0.2"/>
    <row r="78" spans="1:21" hidden="1" x14ac:dyDescent="0.2"/>
    <row r="79" spans="1:21" hidden="1" x14ac:dyDescent="0.2"/>
    <row r="80" spans="1:21"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spans="1:9" hidden="1" x14ac:dyDescent="0.2"/>
    <row r="98" spans="1:9" hidden="1" x14ac:dyDescent="0.2"/>
    <row r="100" spans="1:9" x14ac:dyDescent="0.2">
      <c r="A100" s="909" t="s">
        <v>534</v>
      </c>
      <c r="B100" s="429"/>
      <c r="C100" s="429"/>
      <c r="D100" s="429"/>
      <c r="E100" s="429"/>
      <c r="F100" s="429"/>
      <c r="G100" s="429"/>
      <c r="H100" s="429"/>
      <c r="I100" s="429"/>
    </row>
    <row r="101" spans="1:9" x14ac:dyDescent="0.2">
      <c r="A101" s="429"/>
      <c r="B101" s="429"/>
      <c r="C101" s="429"/>
      <c r="D101" s="429"/>
      <c r="E101" s="429"/>
      <c r="F101" s="429"/>
      <c r="G101" s="429"/>
      <c r="H101" s="429"/>
      <c r="I101" s="429"/>
    </row>
    <row r="102" spans="1:9" x14ac:dyDescent="0.2">
      <c r="A102" s="910" t="s">
        <v>524</v>
      </c>
      <c r="B102" s="911" t="str">
        <f>IF(A102="-","-",IFERROR(INDEX(B$1:B$100,MATCH(A102,I$1:I$100,0)),""))</f>
        <v>Jaan Sepp</v>
      </c>
      <c r="C102" s="912">
        <v>13</v>
      </c>
      <c r="D102" s="702"/>
      <c r="E102" s="702"/>
      <c r="F102" s="702"/>
      <c r="G102" s="702"/>
      <c r="H102" s="702"/>
    </row>
    <row r="103" spans="1:9" x14ac:dyDescent="0.2">
      <c r="A103" s="910"/>
      <c r="B103" s="913"/>
      <c r="C103" s="914" t="str">
        <f>IF(COUNT(C102,C104)=2,IF(C102&gt;C104,B102,B104),"")</f>
        <v>Jaan Sepp</v>
      </c>
      <c r="D103" s="702"/>
      <c r="E103" s="912">
        <v>4</v>
      </c>
      <c r="F103" s="702"/>
      <c r="G103" s="702"/>
      <c r="H103" s="702"/>
    </row>
    <row r="104" spans="1:9" x14ac:dyDescent="0.2">
      <c r="A104" s="910" t="s">
        <v>525</v>
      </c>
      <c r="B104" s="915" t="str">
        <f>IF(A104="-","-",IFERROR(INDEX(B$1:B$100,MATCH(A104,I$1:I$100,0)),""))</f>
        <v>Elmo Lageda</v>
      </c>
      <c r="C104" s="916">
        <v>7</v>
      </c>
      <c r="D104" s="930"/>
      <c r="E104" s="702"/>
      <c r="F104" s="702"/>
      <c r="G104" s="702"/>
      <c r="H104" s="702"/>
    </row>
    <row r="105" spans="1:9" x14ac:dyDescent="0.2">
      <c r="A105" s="910"/>
      <c r="B105" s="918"/>
      <c r="C105" s="702"/>
      <c r="D105" s="949"/>
      <c r="E105" s="914" t="str">
        <f>IF(COUNT(E103,E107)=2,IF(E103&gt;E107,C103,C107),"")</f>
        <v>Oleg Rõndenkov</v>
      </c>
      <c r="F105" s="702"/>
      <c r="G105" s="912">
        <v>12</v>
      </c>
      <c r="H105" s="702"/>
    </row>
    <row r="106" spans="1:9" x14ac:dyDescent="0.2">
      <c r="A106" s="910" t="s">
        <v>535</v>
      </c>
      <c r="B106" s="911" t="str">
        <f>IF(A106="-","-",IFERROR(INDEX(B$1:B$100,MATCH(A106,I$1:I$100,0)),""))</f>
        <v>Tõnu Piik</v>
      </c>
      <c r="C106" s="912">
        <v>5</v>
      </c>
      <c r="D106" s="949"/>
      <c r="E106" s="950"/>
      <c r="F106" s="930"/>
      <c r="G106" s="702"/>
      <c r="H106" s="702"/>
    </row>
    <row r="107" spans="1:9" x14ac:dyDescent="0.2">
      <c r="A107" s="910"/>
      <c r="B107" s="913"/>
      <c r="C107" s="914" t="str">
        <f>IF(COUNT(C106,C108)=2,IF(C106&gt;C108,B106,B108),"")</f>
        <v>Oleg Rõndenkov</v>
      </c>
      <c r="D107" s="925"/>
      <c r="E107" s="916">
        <v>13</v>
      </c>
      <c r="F107" s="949"/>
      <c r="G107" s="702"/>
      <c r="H107" s="702"/>
    </row>
    <row r="108" spans="1:9" x14ac:dyDescent="0.2">
      <c r="A108" s="910" t="s">
        <v>536</v>
      </c>
      <c r="B108" s="915" t="str">
        <f>IF(A108="-","-",IFERROR(INDEX(B$1:B$100,MATCH(A108,I$1:I$100,0)),""))</f>
        <v>Oleg Rõndenkov</v>
      </c>
      <c r="C108" s="916">
        <v>13</v>
      </c>
      <c r="D108" s="702"/>
      <c r="E108" s="886"/>
      <c r="F108" s="949"/>
      <c r="G108" s="702"/>
      <c r="H108" s="702"/>
    </row>
    <row r="109" spans="1:9" ht="13.5" thickBot="1" x14ac:dyDescent="0.25">
      <c r="A109" s="910"/>
      <c r="B109" s="918"/>
      <c r="C109" s="702"/>
      <c r="D109" s="702"/>
      <c r="E109" s="886"/>
      <c r="F109" s="949"/>
      <c r="G109" s="702"/>
      <c r="H109" s="922" t="str">
        <f>IF(COUNT(G105,G113)=2,IF(G105&gt;G113,E105,E113),"")</f>
        <v>Ivar Viljaste</v>
      </c>
    </row>
    <row r="110" spans="1:9" x14ac:dyDescent="0.2">
      <c r="A110" s="910" t="s">
        <v>537</v>
      </c>
      <c r="B110" s="911" t="str">
        <f>IF(A110="-","-",IFERROR(INDEX(B$1:B$100,MATCH(A110,I$1:I$100,0)),""))</f>
        <v>Ivar Viljaste</v>
      </c>
      <c r="C110" s="912">
        <v>13</v>
      </c>
      <c r="D110" s="702"/>
      <c r="E110" s="702"/>
      <c r="F110" s="949"/>
      <c r="G110" s="923"/>
      <c r="H110" s="883" t="s">
        <v>513</v>
      </c>
      <c r="I110" s="924"/>
    </row>
    <row r="111" spans="1:9" x14ac:dyDescent="0.2">
      <c r="A111" s="910"/>
      <c r="B111" s="913"/>
      <c r="C111" s="914" t="str">
        <f>IF(COUNT(C110,C112)=2,IF(C110&gt;C112,B110,B112),"")</f>
        <v>Ivar Viljaste</v>
      </c>
      <c r="D111" s="702"/>
      <c r="E111" s="912">
        <v>13</v>
      </c>
      <c r="F111" s="949"/>
      <c r="G111" s="886"/>
      <c r="H111" s="886"/>
      <c r="I111" s="926"/>
    </row>
    <row r="112" spans="1:9" x14ac:dyDescent="0.2">
      <c r="A112" s="910" t="s">
        <v>538</v>
      </c>
      <c r="B112" s="915" t="str">
        <f>IF(A112="-","-",IFERROR(INDEX(B$1:B$100,MATCH(A112,I$1:I$100,0)),""))</f>
        <v>Emil Murzajev</v>
      </c>
      <c r="C112" s="916">
        <v>6</v>
      </c>
      <c r="D112" s="930"/>
      <c r="E112" s="702"/>
      <c r="F112" s="949"/>
      <c r="G112" s="886"/>
      <c r="H112" s="886"/>
      <c r="I112" s="926"/>
    </row>
    <row r="113" spans="1:9" x14ac:dyDescent="0.2">
      <c r="A113" s="910"/>
      <c r="B113" s="918"/>
      <c r="C113" s="702"/>
      <c r="D113" s="949"/>
      <c r="E113" s="914" t="str">
        <f>IF(COUNT(E111,E115)=2,IF(E111&gt;E115,C111,C115),"")</f>
        <v>Ivar Viljaste</v>
      </c>
      <c r="F113" s="925"/>
      <c r="G113" s="916">
        <v>13</v>
      </c>
      <c r="H113" s="886"/>
      <c r="I113" s="926"/>
    </row>
    <row r="114" spans="1:9" ht="13.5" thickBot="1" x14ac:dyDescent="0.25">
      <c r="A114" s="910" t="s">
        <v>526</v>
      </c>
      <c r="B114" s="911" t="str">
        <f>IF(A114="-","-",IFERROR(INDEX(B$1:B$100,MATCH(A114,I$1:I$100,0)),""))</f>
        <v>Aarne Välja</v>
      </c>
      <c r="C114" s="912">
        <v>13</v>
      </c>
      <c r="D114" s="949"/>
      <c r="E114" s="950"/>
      <c r="F114" s="886"/>
      <c r="G114" s="886"/>
      <c r="H114" s="927" t="str">
        <f>IF(COUNT(G105,G113)=2,IF(G105&lt;G113,E105,E113),"")</f>
        <v>Oleg Rõndenkov</v>
      </c>
      <c r="I114" s="928"/>
    </row>
    <row r="115" spans="1:9" x14ac:dyDescent="0.2">
      <c r="A115" s="910"/>
      <c r="B115" s="913"/>
      <c r="C115" s="914" t="str">
        <f>IF(COUNT(C114,C116)=2,IF(C114&gt;C116,B114,B116),"")</f>
        <v>Aarne Välja</v>
      </c>
      <c r="D115" s="925"/>
      <c r="E115" s="916">
        <v>4</v>
      </c>
      <c r="F115" s="702"/>
      <c r="G115" s="886"/>
      <c r="H115" s="951" t="s">
        <v>514</v>
      </c>
    </row>
    <row r="116" spans="1:9" x14ac:dyDescent="0.2">
      <c r="A116" s="910" t="s">
        <v>527</v>
      </c>
      <c r="B116" s="915" t="str">
        <f>IF(A116="-","-",IFERROR(INDEX(B$1:B$100,MATCH(A116,I$1:I$100,0)),""))</f>
        <v>Janek Tarto</v>
      </c>
      <c r="C116" s="916">
        <v>3</v>
      </c>
      <c r="D116" s="702"/>
      <c r="E116" s="886"/>
      <c r="F116" s="886"/>
      <c r="G116" s="886"/>
      <c r="H116" s="702"/>
    </row>
    <row r="117" spans="1:9" x14ac:dyDescent="0.2">
      <c r="A117" s="429"/>
      <c r="B117" s="429"/>
      <c r="C117" s="702"/>
      <c r="D117" s="702"/>
      <c r="E117" s="922" t="str">
        <f>IF(COUNT(E103,E107)=2,IF(E103&lt;E107,C103,C107),"")</f>
        <v>Jaan Sepp</v>
      </c>
      <c r="F117" s="702"/>
      <c r="G117" s="919">
        <v>5</v>
      </c>
      <c r="H117" s="702"/>
    </row>
    <row r="118" spans="1:9" ht="13.5" thickBot="1" x14ac:dyDescent="0.25">
      <c r="A118" s="429"/>
      <c r="B118" s="429"/>
      <c r="C118" s="702"/>
      <c r="D118" s="702"/>
      <c r="E118" s="929"/>
      <c r="F118" s="930"/>
      <c r="G118" s="931"/>
      <c r="H118" s="922" t="str">
        <f>IF(COUNT(G117,G119)=2,IF(G117&gt;G119,E117,E119),"")</f>
        <v>Aarne Välja</v>
      </c>
    </row>
    <row r="119" spans="1:9" x14ac:dyDescent="0.2">
      <c r="A119" s="429"/>
      <c r="B119" s="429"/>
      <c r="C119" s="702"/>
      <c r="D119" s="702"/>
      <c r="E119" s="932" t="str">
        <f>IF(COUNT(E111,E115)=2,IF(E111&lt;E115,C111,C115),"")</f>
        <v>Aarne Välja</v>
      </c>
      <c r="F119" s="925"/>
      <c r="G119" s="916">
        <v>13</v>
      </c>
      <c r="H119" s="883" t="s">
        <v>461</v>
      </c>
      <c r="I119" s="924"/>
    </row>
    <row r="120" spans="1:9" x14ac:dyDescent="0.2">
      <c r="A120" s="429"/>
      <c r="B120" s="429"/>
      <c r="C120" s="702"/>
      <c r="D120" s="702"/>
      <c r="E120" s="702"/>
      <c r="F120" s="702"/>
      <c r="G120" s="702"/>
      <c r="H120" s="886"/>
      <c r="I120" s="926"/>
    </row>
    <row r="121" spans="1:9" ht="13.5" thickBot="1" x14ac:dyDescent="0.25">
      <c r="A121" s="429"/>
      <c r="B121" s="429"/>
      <c r="C121" s="702"/>
      <c r="D121" s="702"/>
      <c r="E121" s="886"/>
      <c r="F121" s="886"/>
      <c r="G121" s="702"/>
      <c r="H121" s="927" t="str">
        <f>IF(COUNT(G117,G119)=2,IF(G117&lt;G119,E117,E119),"")</f>
        <v>Jaan Sepp</v>
      </c>
      <c r="I121" s="928"/>
    </row>
    <row r="122" spans="1:9" x14ac:dyDescent="0.2">
      <c r="A122" s="429"/>
      <c r="B122" s="429"/>
      <c r="C122" s="702"/>
      <c r="D122" s="702"/>
      <c r="E122" s="702"/>
      <c r="F122" s="702"/>
      <c r="G122" s="702"/>
      <c r="H122" s="742" t="s">
        <v>458</v>
      </c>
    </row>
    <row r="123" spans="1:9" x14ac:dyDescent="0.2">
      <c r="A123" s="429"/>
      <c r="B123" s="429"/>
      <c r="C123" s="932" t="str">
        <f>IF(COUNT(C102,C104)=2,IF(C102&lt;C104,B102,B104),"")</f>
        <v>Elmo Lageda</v>
      </c>
      <c r="D123" s="702"/>
      <c r="E123" s="912">
        <v>13</v>
      </c>
      <c r="F123" s="912"/>
      <c r="G123" s="912"/>
      <c r="H123" s="702"/>
    </row>
    <row r="124" spans="1:9" x14ac:dyDescent="0.2">
      <c r="A124" s="429"/>
      <c r="B124" s="429"/>
      <c r="C124" s="952"/>
      <c r="D124" s="917"/>
      <c r="E124" s="914" t="str">
        <f>IF(COUNT(E123,E125)=2,IF(E123&gt;E125,C123,C125),"")</f>
        <v>Elmo Lageda</v>
      </c>
      <c r="F124" s="702"/>
      <c r="G124" s="912">
        <v>13</v>
      </c>
      <c r="H124" s="702"/>
    </row>
    <row r="125" spans="1:9" x14ac:dyDescent="0.2">
      <c r="A125" s="429"/>
      <c r="B125" s="429"/>
      <c r="C125" s="932" t="str">
        <f>IF(COUNT(C106,C108)=2,IF(C106&lt;C108,B106,B108),"")</f>
        <v>Tõnu Piik</v>
      </c>
      <c r="D125" s="953"/>
      <c r="E125" s="916">
        <v>9</v>
      </c>
      <c r="F125" s="917"/>
      <c r="G125" s="702"/>
      <c r="H125" s="702"/>
    </row>
    <row r="126" spans="1:9" ht="13.5" thickBot="1" x14ac:dyDescent="0.25">
      <c r="A126" s="429"/>
      <c r="B126" s="429"/>
      <c r="C126" s="912"/>
      <c r="D126" s="912"/>
      <c r="E126" s="919"/>
      <c r="F126" s="920"/>
      <c r="G126" s="921"/>
      <c r="H126" s="922" t="str">
        <f>IF(COUNT(G124,G128)=2,IF(G124&gt;G128,E124,E128),"")</f>
        <v>Elmo Lageda</v>
      </c>
    </row>
    <row r="127" spans="1:9" x14ac:dyDescent="0.2">
      <c r="A127" s="429"/>
      <c r="B127" s="429"/>
      <c r="C127" s="932" t="str">
        <f>IF(COUNT(C110,C112)=2,IF(C110&lt;C112,B110,B112),"")</f>
        <v>Emil Murzajev</v>
      </c>
      <c r="D127" s="912"/>
      <c r="E127" s="912">
        <v>7</v>
      </c>
      <c r="F127" s="920"/>
      <c r="G127" s="923"/>
      <c r="H127" s="883" t="s">
        <v>459</v>
      </c>
      <c r="I127" s="924"/>
    </row>
    <row r="128" spans="1:9" x14ac:dyDescent="0.2">
      <c r="A128" s="429"/>
      <c r="B128" s="429"/>
      <c r="C128" s="952"/>
      <c r="D128" s="917"/>
      <c r="E128" s="914" t="str">
        <f>IF(COUNT(E127,E129)=2,IF(E127&gt;E129,C127,C129),"")</f>
        <v>Janek Tarto</v>
      </c>
      <c r="F128" s="925"/>
      <c r="G128" s="916">
        <v>9</v>
      </c>
      <c r="H128" s="886"/>
      <c r="I128" s="926"/>
    </row>
    <row r="129" spans="1:9" ht="13.5" thickBot="1" x14ac:dyDescent="0.25">
      <c r="A129" s="429"/>
      <c r="B129" s="429"/>
      <c r="C129" s="932" t="str">
        <f>IF(COUNT(C114,C116)=2,IF(C114&lt;C116,B114,B116),"")</f>
        <v>Janek Tarto</v>
      </c>
      <c r="D129" s="953"/>
      <c r="E129" s="916">
        <v>13</v>
      </c>
      <c r="F129" s="912"/>
      <c r="G129" s="919"/>
      <c r="H129" s="927" t="str">
        <f>IF(COUNT(G124,G128)=2,IF(G124&lt;G128,E124,E128),"")</f>
        <v>Janek Tarto</v>
      </c>
      <c r="I129" s="928"/>
    </row>
    <row r="130" spans="1:9" x14ac:dyDescent="0.2">
      <c r="A130" s="429"/>
      <c r="B130" s="429"/>
      <c r="C130" s="912"/>
      <c r="D130" s="912"/>
      <c r="E130" s="912"/>
      <c r="F130" s="912"/>
      <c r="G130" s="919"/>
      <c r="H130" s="742" t="s">
        <v>456</v>
      </c>
    </row>
    <row r="131" spans="1:9" x14ac:dyDescent="0.2">
      <c r="A131" s="429"/>
      <c r="B131" s="429"/>
      <c r="C131" s="912"/>
      <c r="D131" s="919"/>
      <c r="E131" s="922" t="str">
        <f>IF(COUNT(E123,E125)=2,IF(E123&lt;E125,C123,C125),"")</f>
        <v>Tõnu Piik</v>
      </c>
      <c r="F131" s="702"/>
      <c r="G131" s="919">
        <v>5</v>
      </c>
      <c r="H131" s="886"/>
    </row>
    <row r="132" spans="1:9" ht="13.5" thickBot="1" x14ac:dyDescent="0.25">
      <c r="A132" s="429"/>
      <c r="B132" s="429"/>
      <c r="C132" s="912"/>
      <c r="D132" s="919"/>
      <c r="E132" s="929"/>
      <c r="F132" s="930"/>
      <c r="G132" s="931"/>
      <c r="H132" s="922" t="str">
        <f>IF(COUNT(G131,G133)=2,IF(G131&gt;G133,E131,E133),"")</f>
        <v>Emil Murzajev</v>
      </c>
    </row>
    <row r="133" spans="1:9" x14ac:dyDescent="0.2">
      <c r="A133" s="429"/>
      <c r="B133" s="429"/>
      <c r="C133" s="912"/>
      <c r="D133" s="919"/>
      <c r="E133" s="932" t="str">
        <f>IF(COUNT(E127,E129)=2,IF(E127&lt;E129,C127,C129),"")</f>
        <v>Emil Murzajev</v>
      </c>
      <c r="F133" s="925"/>
      <c r="G133" s="916">
        <v>13</v>
      </c>
      <c r="H133" s="883" t="s">
        <v>468</v>
      </c>
      <c r="I133" s="924"/>
    </row>
    <row r="134" spans="1:9" x14ac:dyDescent="0.2">
      <c r="A134" s="429"/>
      <c r="B134" s="429"/>
      <c r="C134" s="702"/>
      <c r="D134" s="886"/>
      <c r="E134" s="702"/>
      <c r="F134" s="702"/>
      <c r="G134" s="702"/>
      <c r="H134" s="886"/>
      <c r="I134" s="926"/>
    </row>
    <row r="135" spans="1:9" ht="13.5" thickBot="1" x14ac:dyDescent="0.25">
      <c r="A135" s="429"/>
      <c r="B135" s="429"/>
      <c r="C135" s="702"/>
      <c r="D135" s="702"/>
      <c r="E135" s="886"/>
      <c r="F135" s="886"/>
      <c r="G135" s="702"/>
      <c r="H135" s="885" t="str">
        <f>IF(COUNT(G131,G133)=2,IF(G131&lt;G133,E131,E133),"")</f>
        <v>Tõnu Piik</v>
      </c>
      <c r="I135" s="928"/>
    </row>
    <row r="136" spans="1:9" x14ac:dyDescent="0.2">
      <c r="A136" s="429"/>
      <c r="B136" s="429"/>
      <c r="C136" s="702"/>
      <c r="D136" s="702"/>
      <c r="E136" s="886"/>
      <c r="F136" s="886"/>
      <c r="G136" s="702"/>
      <c r="H136" s="742" t="s">
        <v>464</v>
      </c>
    </row>
    <row r="137" spans="1:9" x14ac:dyDescent="0.2">
      <c r="A137" s="429"/>
      <c r="B137" s="429"/>
    </row>
    <row r="138" spans="1:9" x14ac:dyDescent="0.2">
      <c r="A138" s="909" t="s">
        <v>539</v>
      </c>
      <c r="B138" s="429"/>
      <c r="C138" s="429"/>
      <c r="D138" s="429"/>
      <c r="E138" s="429"/>
      <c r="F138" s="429"/>
      <c r="G138" s="429"/>
      <c r="H138" s="429"/>
      <c r="I138" s="429"/>
    </row>
    <row r="139" spans="1:9" x14ac:dyDescent="0.2">
      <c r="A139" s="429"/>
      <c r="B139" s="429"/>
      <c r="C139" s="429"/>
      <c r="D139" s="429"/>
      <c r="E139" s="429"/>
      <c r="F139" s="429"/>
      <c r="G139" s="429"/>
      <c r="H139" s="429"/>
      <c r="I139" s="429"/>
    </row>
    <row r="140" spans="1:9" x14ac:dyDescent="0.2">
      <c r="A140" s="954" t="s">
        <v>532</v>
      </c>
      <c r="B140" s="911" t="str">
        <f>IF(A140="-","-",IFERROR(INDEX(B$1:B$100,MATCH(A140,I$1:I$100,0)),""))</f>
        <v>Andrei Grintšak</v>
      </c>
      <c r="C140" s="912">
        <v>13</v>
      </c>
      <c r="D140" s="702"/>
      <c r="E140" s="702"/>
      <c r="F140" s="702"/>
      <c r="G140" s="702"/>
      <c r="H140" s="702"/>
    </row>
    <row r="141" spans="1:9" x14ac:dyDescent="0.2">
      <c r="A141" s="910"/>
      <c r="B141" s="913"/>
      <c r="C141" s="914" t="str">
        <f>IF(COUNT(C140,C142)=2,IF(C140&gt;C142,B140,B142),"")</f>
        <v>Andrei Grintšak</v>
      </c>
      <c r="D141" s="702"/>
      <c r="E141" s="912">
        <v>13</v>
      </c>
      <c r="F141" s="702"/>
      <c r="G141" s="702"/>
      <c r="H141" s="702"/>
    </row>
    <row r="142" spans="1:9" x14ac:dyDescent="0.2">
      <c r="A142" s="910" t="s">
        <v>530</v>
      </c>
      <c r="B142" s="915" t="str">
        <f>IF(A142="-","-",IFERROR(INDEX(B$1:B$100,MATCH(A142,I$1:I$100,0)),""))</f>
        <v>Oskar Sepp</v>
      </c>
      <c r="C142" s="916">
        <v>8</v>
      </c>
      <c r="D142" s="930"/>
      <c r="E142" s="702"/>
      <c r="F142" s="702"/>
      <c r="G142" s="702"/>
      <c r="H142" s="702"/>
    </row>
    <row r="143" spans="1:9" x14ac:dyDescent="0.2">
      <c r="A143" s="910"/>
      <c r="B143" s="918"/>
      <c r="C143" s="702"/>
      <c r="D143" s="949"/>
      <c r="E143" s="914" t="str">
        <f>IF(COUNT(E141,E145)=2,IF(E141&gt;E145,C141,C145),"")</f>
        <v>Andrei Grintšak</v>
      </c>
      <c r="F143" s="702"/>
      <c r="G143" s="912">
        <v>12</v>
      </c>
      <c r="H143" s="702"/>
    </row>
    <row r="144" spans="1:9" x14ac:dyDescent="0.2">
      <c r="A144" s="910" t="s">
        <v>540</v>
      </c>
      <c r="B144" s="911" t="str">
        <f>IF(A144="-","-",IFERROR(INDEX(B$1:B$100,MATCH(A144,I$1:I$100,0)),""))</f>
        <v>Argo Sepp</v>
      </c>
      <c r="C144" s="912">
        <v>13</v>
      </c>
      <c r="D144" s="949"/>
      <c r="E144" s="950"/>
      <c r="F144" s="930"/>
      <c r="G144" s="702"/>
      <c r="H144" s="702"/>
    </row>
    <row r="145" spans="1:9" x14ac:dyDescent="0.2">
      <c r="A145" s="910"/>
      <c r="B145" s="913"/>
      <c r="C145" s="914" t="str">
        <f>IF(COUNT(C144,C146)=2,IF(C144&gt;C146,B144,B146),"")</f>
        <v>Argo Sepp</v>
      </c>
      <c r="D145" s="925"/>
      <c r="E145" s="916">
        <v>11</v>
      </c>
      <c r="F145" s="949"/>
      <c r="G145" s="702"/>
      <c r="H145" s="702"/>
    </row>
    <row r="146" spans="1:9" x14ac:dyDescent="0.2">
      <c r="A146" s="910" t="s">
        <v>541</v>
      </c>
      <c r="B146" s="915" t="str">
        <f>IF(A146="-","-",IFERROR(INDEX(B$1:B$100,MATCH(A146,I$1:I$100,0)),""))</f>
        <v>Vello Vasser</v>
      </c>
      <c r="C146" s="916">
        <v>6</v>
      </c>
      <c r="D146" s="702"/>
      <c r="E146" s="886"/>
      <c r="F146" s="949"/>
      <c r="G146" s="702"/>
      <c r="H146" s="702"/>
    </row>
    <row r="147" spans="1:9" ht="13.5" thickBot="1" x14ac:dyDescent="0.25">
      <c r="A147" s="910"/>
      <c r="B147" s="918"/>
      <c r="C147" s="702"/>
      <c r="D147" s="702"/>
      <c r="E147" s="886"/>
      <c r="F147" s="949"/>
      <c r="G147" s="702"/>
      <c r="H147" s="922" t="str">
        <f>IF(COUNT(G143,G151)=2,IF(G143&gt;G151,E143,E151),"")</f>
        <v>Matti Vinni</v>
      </c>
    </row>
    <row r="148" spans="1:9" x14ac:dyDescent="0.2">
      <c r="A148" s="910" t="s">
        <v>542</v>
      </c>
      <c r="B148" s="911" t="str">
        <f>IF(A148="-","-",IFERROR(INDEX(B$1:B$100,MATCH(A148,I$1:I$100,0)),""))</f>
        <v>Boriss Klubov</v>
      </c>
      <c r="C148" s="912">
        <v>13</v>
      </c>
      <c r="D148" s="702"/>
      <c r="E148" s="702"/>
      <c r="F148" s="949"/>
      <c r="G148" s="923"/>
      <c r="H148" s="883" t="s">
        <v>467</v>
      </c>
      <c r="I148" s="924"/>
    </row>
    <row r="149" spans="1:9" x14ac:dyDescent="0.2">
      <c r="A149" s="910"/>
      <c r="B149" s="913"/>
      <c r="C149" s="914" t="str">
        <f>IF(COUNT(C148,C150)=2,IF(C148&gt;C150,B148,B150),"")</f>
        <v>Boriss Klubov</v>
      </c>
      <c r="D149" s="702"/>
      <c r="E149" s="912">
        <v>0</v>
      </c>
      <c r="F149" s="949"/>
      <c r="G149" s="886"/>
      <c r="H149" s="886"/>
      <c r="I149" s="926"/>
    </row>
    <row r="150" spans="1:9" x14ac:dyDescent="0.2">
      <c r="A150" s="910" t="s">
        <v>543</v>
      </c>
      <c r="B150" s="915" t="str">
        <f>IF(A150="-","-",IFERROR(INDEX(B$1:B$100,MATCH(A150,I$1:I$100,0)),""))</f>
        <v>Tõnu Kapper</v>
      </c>
      <c r="C150" s="955">
        <v>0</v>
      </c>
      <c r="D150" s="930"/>
      <c r="E150" s="702"/>
      <c r="F150" s="949"/>
      <c r="G150" s="886"/>
      <c r="H150" s="886"/>
      <c r="I150" s="926"/>
    </row>
    <row r="151" spans="1:9" x14ac:dyDescent="0.2">
      <c r="A151" s="910"/>
      <c r="B151" s="918"/>
      <c r="C151" s="702"/>
      <c r="D151" s="949"/>
      <c r="E151" s="914" t="str">
        <f>IF(COUNT(E149,E153)=2,IF(E149&gt;E153,C149,C153),"")</f>
        <v>Matti Vinni</v>
      </c>
      <c r="F151" s="925"/>
      <c r="G151" s="916">
        <v>13</v>
      </c>
      <c r="H151" s="886"/>
      <c r="I151" s="926"/>
    </row>
    <row r="152" spans="1:9" ht="13.5" thickBot="1" x14ac:dyDescent="0.25">
      <c r="A152" s="954" t="s">
        <v>529</v>
      </c>
      <c r="B152" s="911" t="str">
        <f>IF(A152="-","-",IFERROR(INDEX(B$1:B$100,MATCH(A152,I$1:I$100,0)),""))</f>
        <v>Marko Rooden</v>
      </c>
      <c r="C152" s="912">
        <v>3</v>
      </c>
      <c r="D152" s="949"/>
      <c r="E152" s="950"/>
      <c r="F152" s="886"/>
      <c r="G152" s="886"/>
      <c r="H152" s="927" t="str">
        <f>IF(COUNT(G143,G151)=2,IF(G143&lt;G151,E143,E151),"")</f>
        <v>Andrei Grintšak</v>
      </c>
      <c r="I152" s="928"/>
    </row>
    <row r="153" spans="1:9" x14ac:dyDescent="0.2">
      <c r="A153" s="910"/>
      <c r="B153" s="913"/>
      <c r="C153" s="914" t="str">
        <f>IF(COUNT(C152,C154)=2,IF(C152&gt;C154,B152,B154),"")</f>
        <v>Matti Vinni</v>
      </c>
      <c r="D153" s="925"/>
      <c r="E153" s="916">
        <v>13</v>
      </c>
      <c r="F153" s="702"/>
      <c r="G153" s="886"/>
      <c r="H153" s="951" t="s">
        <v>465</v>
      </c>
    </row>
    <row r="154" spans="1:9" x14ac:dyDescent="0.2">
      <c r="A154" s="910" t="s">
        <v>531</v>
      </c>
      <c r="B154" s="915" t="str">
        <f>IF(A154="-","-",IFERROR(INDEX(B$1:B$100,MATCH(A154,I$1:I$100,0)),""))</f>
        <v>Matti Vinni</v>
      </c>
      <c r="C154" s="916">
        <v>13</v>
      </c>
      <c r="D154" s="702"/>
      <c r="E154" s="886"/>
      <c r="F154" s="886"/>
      <c r="G154" s="886"/>
      <c r="H154" s="702"/>
    </row>
    <row r="155" spans="1:9" x14ac:dyDescent="0.2">
      <c r="A155" s="429"/>
      <c r="B155" s="429"/>
      <c r="C155" s="702"/>
      <c r="D155" s="702"/>
      <c r="E155" s="922" t="str">
        <f>IF(COUNT(E141,E145)=2,IF(E141&lt;E145,C141,C145),"")</f>
        <v>Argo Sepp</v>
      </c>
      <c r="F155" s="702"/>
      <c r="G155" s="919">
        <v>13</v>
      </c>
      <c r="H155" s="702"/>
    </row>
    <row r="156" spans="1:9" ht="13.5" thickBot="1" x14ac:dyDescent="0.25">
      <c r="A156" s="429"/>
      <c r="B156" s="429"/>
      <c r="C156" s="702"/>
      <c r="D156" s="702"/>
      <c r="E156" s="929"/>
      <c r="F156" s="930"/>
      <c r="G156" s="931"/>
      <c r="H156" s="922" t="str">
        <f>IF(COUNT(G155,G157)=2,IF(G155&gt;G157,E155,E157),"")</f>
        <v>Argo Sepp</v>
      </c>
    </row>
    <row r="157" spans="1:9" x14ac:dyDescent="0.2">
      <c r="A157" s="429"/>
      <c r="B157" s="429"/>
      <c r="C157" s="702"/>
      <c r="D157" s="702"/>
      <c r="E157" s="932" t="str">
        <f>IF(COUNT(E149,E153)=2,IF(E149&lt;E153,C149,C153),"")</f>
        <v>Boriss Klubov</v>
      </c>
      <c r="F157" s="925"/>
      <c r="G157" s="916">
        <v>1</v>
      </c>
      <c r="H157" s="883" t="s">
        <v>466</v>
      </c>
      <c r="I157" s="924"/>
    </row>
    <row r="158" spans="1:9" x14ac:dyDescent="0.2">
      <c r="A158" s="429"/>
      <c r="B158" s="429"/>
      <c r="C158" s="702"/>
      <c r="D158" s="702"/>
      <c r="E158" s="702"/>
      <c r="F158" s="702"/>
      <c r="G158" s="702"/>
      <c r="H158" s="886"/>
      <c r="I158" s="926"/>
    </row>
    <row r="159" spans="1:9" ht="13.5" thickBot="1" x14ac:dyDescent="0.25">
      <c r="A159" s="429"/>
      <c r="B159" s="429"/>
      <c r="C159" s="702"/>
      <c r="D159" s="702"/>
      <c r="E159" s="886"/>
      <c r="F159" s="886"/>
      <c r="G159" s="702"/>
      <c r="H159" s="927" t="str">
        <f>IF(COUNT(G155,G157)=2,IF(G155&lt;G157,E155,E157),"")</f>
        <v>Boriss Klubov</v>
      </c>
      <c r="I159" s="928"/>
    </row>
    <row r="160" spans="1:9" x14ac:dyDescent="0.2">
      <c r="A160" s="429"/>
      <c r="B160" s="429"/>
      <c r="C160" s="702"/>
      <c r="D160" s="702"/>
      <c r="E160" s="702"/>
      <c r="F160" s="702"/>
      <c r="G160" s="702"/>
      <c r="H160" s="742" t="s">
        <v>544</v>
      </c>
    </row>
    <row r="161" spans="1:9" x14ac:dyDescent="0.2">
      <c r="A161" s="429"/>
      <c r="B161" s="429"/>
      <c r="C161" s="932" t="str">
        <f>IF(COUNT(C140,C142)=2,IF(C140&lt;C142,B140,B142),"")</f>
        <v>Oskar Sepp</v>
      </c>
      <c r="D161" s="702"/>
      <c r="E161" s="912">
        <v>13</v>
      </c>
      <c r="F161" s="912"/>
      <c r="G161" s="912"/>
      <c r="H161" s="702"/>
    </row>
    <row r="162" spans="1:9" x14ac:dyDescent="0.2">
      <c r="A162" s="429"/>
      <c r="B162" s="429"/>
      <c r="C162" s="952"/>
      <c r="D162" s="917"/>
      <c r="E162" s="914" t="str">
        <f>IF(COUNT(E161,E163)=2,IF(E161&gt;E163,C161,C163),"")</f>
        <v>Oskar Sepp</v>
      </c>
      <c r="F162" s="702"/>
      <c r="G162" s="912">
        <v>13</v>
      </c>
      <c r="H162" s="702"/>
    </row>
    <row r="163" spans="1:9" x14ac:dyDescent="0.2">
      <c r="A163" s="429"/>
      <c r="B163" s="429"/>
      <c r="C163" s="932" t="str">
        <f>IF(COUNT(C144,C146)=2,IF(C144&lt;C146,B144,B146),"")</f>
        <v>Vello Vasser</v>
      </c>
      <c r="D163" s="953"/>
      <c r="E163" s="916">
        <v>0</v>
      </c>
      <c r="F163" s="917"/>
      <c r="G163" s="702"/>
      <c r="H163" s="702"/>
    </row>
    <row r="164" spans="1:9" ht="13.5" thickBot="1" x14ac:dyDescent="0.25">
      <c r="A164" s="429"/>
      <c r="B164" s="429"/>
      <c r="C164" s="912"/>
      <c r="D164" s="912"/>
      <c r="E164" s="919"/>
      <c r="F164" s="920"/>
      <c r="G164" s="921"/>
      <c r="H164" s="922" t="str">
        <f>IF(COUNT(G162,G166)=2,IF(G162&gt;G166,E162,E166),"")</f>
        <v>Oskar Sepp</v>
      </c>
    </row>
    <row r="165" spans="1:9" x14ac:dyDescent="0.2">
      <c r="A165" s="429"/>
      <c r="B165" s="429"/>
      <c r="C165" s="932" t="str">
        <f>IF(COUNT(C148,C150)=2,IF(C148&lt;C150,B148,B150),"")</f>
        <v>Tõnu Kapper</v>
      </c>
      <c r="D165" s="912"/>
      <c r="E165" s="912">
        <v>0</v>
      </c>
      <c r="F165" s="920"/>
      <c r="G165" s="923"/>
      <c r="H165" s="883" t="s">
        <v>545</v>
      </c>
      <c r="I165" s="924"/>
    </row>
    <row r="166" spans="1:9" x14ac:dyDescent="0.2">
      <c r="A166" s="429"/>
      <c r="B166" s="429"/>
      <c r="C166" s="952"/>
      <c r="D166" s="917"/>
      <c r="E166" s="914" t="str">
        <f>IF(COUNT(E165,E167)=2,IF(E165&gt;E167,C165,C167),"")</f>
        <v>Marko Rooden</v>
      </c>
      <c r="F166" s="925"/>
      <c r="G166" s="916">
        <v>1</v>
      </c>
      <c r="H166" s="886"/>
      <c r="I166" s="926"/>
    </row>
    <row r="167" spans="1:9" ht="13.5" thickBot="1" x14ac:dyDescent="0.25">
      <c r="A167" s="429"/>
      <c r="B167" s="429"/>
      <c r="C167" s="932" t="str">
        <f>IF(COUNT(C152,C154)=2,IF(C152&lt;C154,B152,B154),"")</f>
        <v>Marko Rooden</v>
      </c>
      <c r="D167" s="953"/>
      <c r="E167" s="916">
        <v>13</v>
      </c>
      <c r="F167" s="912"/>
      <c r="G167" s="919"/>
      <c r="H167" s="927" t="str">
        <f>IF(COUNT(G162,G166)=2,IF(G162&lt;G166,E162,E166),"")</f>
        <v>Marko Rooden</v>
      </c>
      <c r="I167" s="928"/>
    </row>
    <row r="168" spans="1:9" x14ac:dyDescent="0.2">
      <c r="A168" s="429"/>
      <c r="B168" s="429"/>
      <c r="C168" s="912"/>
      <c r="D168" s="912"/>
      <c r="E168" s="912"/>
      <c r="F168" s="912"/>
      <c r="G168" s="919"/>
      <c r="H168" s="742" t="s">
        <v>546</v>
      </c>
    </row>
    <row r="169" spans="1:9" x14ac:dyDescent="0.2">
      <c r="A169" s="429"/>
      <c r="B169" s="429"/>
      <c r="C169" s="912"/>
      <c r="D169" s="919"/>
      <c r="E169" s="922" t="str">
        <f>IF(COUNT(E161,E163)=2,IF(E161&lt;E163,C161,C163),"")</f>
        <v>Vello Vasser</v>
      </c>
      <c r="F169" s="702"/>
      <c r="G169" s="919">
        <v>13</v>
      </c>
      <c r="H169" s="886"/>
    </row>
    <row r="170" spans="1:9" ht="13.5" thickBot="1" x14ac:dyDescent="0.25">
      <c r="A170" s="429"/>
      <c r="B170" s="429"/>
      <c r="C170" s="912"/>
      <c r="D170" s="919"/>
      <c r="E170" s="929"/>
      <c r="F170" s="930"/>
      <c r="G170" s="931"/>
      <c r="H170" s="922" t="str">
        <f>IF(COUNT(G169,G171)=2,IF(G169&gt;G171,E169,E171),"")</f>
        <v>Vello Vasser</v>
      </c>
    </row>
    <row r="171" spans="1:9" x14ac:dyDescent="0.2">
      <c r="A171" s="429"/>
      <c r="B171" s="429"/>
      <c r="C171" s="912"/>
      <c r="D171" s="919"/>
      <c r="E171" s="932" t="str">
        <f>IF(COUNT(E165,E167)=2,IF(E165&lt;E167,C165,C167),"")</f>
        <v>Tõnu Kapper</v>
      </c>
      <c r="F171" s="925"/>
      <c r="G171" s="916">
        <v>0</v>
      </c>
      <c r="H171" s="883" t="s">
        <v>547</v>
      </c>
      <c r="I171" s="924"/>
    </row>
    <row r="172" spans="1:9" x14ac:dyDescent="0.2">
      <c r="A172" s="429"/>
      <c r="B172" s="429"/>
      <c r="C172" s="702"/>
      <c r="D172" s="886"/>
      <c r="E172" s="702"/>
      <c r="F172" s="702"/>
      <c r="G172" s="702"/>
      <c r="H172" s="886"/>
      <c r="I172" s="926"/>
    </row>
    <row r="173" spans="1:9" ht="13.5" thickBot="1" x14ac:dyDescent="0.25">
      <c r="A173" s="429"/>
      <c r="B173" s="429"/>
      <c r="C173" s="702"/>
      <c r="D173" s="702"/>
      <c r="E173" s="886"/>
      <c r="F173" s="886"/>
      <c r="G173" s="702"/>
      <c r="H173" s="885" t="str">
        <f>IF(COUNT(G169,G171)=2,IF(G169&lt;G171,E169,E171),"")</f>
        <v>Tõnu Kapper</v>
      </c>
      <c r="I173" s="928"/>
    </row>
    <row r="174" spans="1:9" x14ac:dyDescent="0.2">
      <c r="A174" s="429"/>
      <c r="B174" s="429"/>
      <c r="C174" s="702"/>
      <c r="D174" s="702"/>
      <c r="E174" s="886"/>
      <c r="F174" s="886"/>
      <c r="G174" s="702"/>
      <c r="H174" s="742" t="s">
        <v>548</v>
      </c>
    </row>
    <row r="175" spans="1:9" x14ac:dyDescent="0.2">
      <c r="A175" s="429"/>
      <c r="B175" s="429"/>
    </row>
    <row r="176" spans="1:9" x14ac:dyDescent="0.2">
      <c r="A176" s="909" t="s">
        <v>549</v>
      </c>
    </row>
    <row r="178" spans="2:9" x14ac:dyDescent="0.2">
      <c r="B178" s="910" t="s">
        <v>550</v>
      </c>
      <c r="C178" s="956" t="str">
        <f>IF(B178="-","-",IFERROR(INDEX(B$1:B$100,MATCH(B178,I$1:I$100,0)),""))</f>
        <v>Andres Veski</v>
      </c>
      <c r="E178" s="912">
        <v>0</v>
      </c>
      <c r="F178" s="912"/>
      <c r="G178" s="912"/>
      <c r="H178" s="702"/>
    </row>
    <row r="179" spans="2:9" x14ac:dyDescent="0.2">
      <c r="B179" s="910"/>
      <c r="C179" s="913"/>
      <c r="D179" s="957"/>
      <c r="E179" s="914" t="str">
        <f>IF(COUNT(E178,E180)=2,IF(E178&gt;E180,C178,C180),"")</f>
        <v>Liidia Põllu</v>
      </c>
      <c r="F179" s="702"/>
      <c r="G179" s="912">
        <v>12</v>
      </c>
      <c r="H179" s="702"/>
    </row>
    <row r="180" spans="2:9" x14ac:dyDescent="0.2">
      <c r="B180" s="910" t="s">
        <v>551</v>
      </c>
      <c r="C180" s="911" t="str">
        <f>IF(B180="-","-",IFERROR(INDEX(B$1:B$100,MATCH(B180,I$1:I$100,0)),""))</f>
        <v>Liidia Põllu</v>
      </c>
      <c r="D180" s="958"/>
      <c r="E180" s="916">
        <v>13</v>
      </c>
      <c r="F180" s="917"/>
      <c r="G180" s="702"/>
      <c r="H180" s="702"/>
    </row>
    <row r="181" spans="2:9" ht="13.5" thickBot="1" x14ac:dyDescent="0.25">
      <c r="B181" s="910"/>
      <c r="C181" s="918"/>
      <c r="E181" s="919"/>
      <c r="F181" s="920"/>
      <c r="G181" s="921"/>
      <c r="H181" s="922" t="str">
        <f>IF(COUNT(G179,G183)=2,IF(G179&gt;G183,E179,E183),"")</f>
        <v>Oksana Rõndenkova</v>
      </c>
    </row>
    <row r="182" spans="2:9" x14ac:dyDescent="0.2">
      <c r="B182" s="910" t="s">
        <v>552</v>
      </c>
      <c r="C182" s="956" t="str">
        <f>IF(B182="-","-",IFERROR(INDEX(B$1:B$100,MATCH(B182,I$1:I$100,0)),""))</f>
        <v>Oksana Rõndenkova</v>
      </c>
      <c r="E182" s="912">
        <v>13</v>
      </c>
      <c r="F182" s="920"/>
      <c r="G182" s="923"/>
      <c r="H182" s="883" t="s">
        <v>553</v>
      </c>
      <c r="I182" s="924"/>
    </row>
    <row r="183" spans="2:9" x14ac:dyDescent="0.2">
      <c r="B183" s="910"/>
      <c r="C183" s="913"/>
      <c r="D183" s="957"/>
      <c r="E183" s="914" t="str">
        <f>IF(COUNT(E182,E184)=2,IF(E182&gt;E184,C182,C184),"")</f>
        <v>Oksana Rõndenkova</v>
      </c>
      <c r="F183" s="925"/>
      <c r="G183" s="916">
        <v>13</v>
      </c>
      <c r="H183" s="886"/>
      <c r="I183" s="926"/>
    </row>
    <row r="184" spans="2:9" ht="13.5" thickBot="1" x14ac:dyDescent="0.25">
      <c r="B184" s="910" t="s">
        <v>554</v>
      </c>
      <c r="C184" s="911" t="str">
        <f>IF(B184="-","-",IFERROR(INDEX(B$1:B$100,MATCH(B184,I$1:I$100,0)),""))</f>
        <v>Mikk Rooden</v>
      </c>
      <c r="D184" s="958"/>
      <c r="E184" s="916">
        <v>11</v>
      </c>
      <c r="F184" s="912"/>
      <c r="G184" s="919"/>
      <c r="H184" s="927" t="str">
        <f>IF(COUNT(G179,G183)=2,IF(G179&lt;G183,E179,E183),"")</f>
        <v>Liidia Põllu</v>
      </c>
      <c r="I184" s="928"/>
    </row>
    <row r="185" spans="2:9" x14ac:dyDescent="0.2">
      <c r="C185" s="429"/>
      <c r="D185" s="912"/>
      <c r="E185" s="912"/>
      <c r="F185" s="912"/>
      <c r="G185" s="919"/>
      <c r="H185" s="742" t="s">
        <v>555</v>
      </c>
    </row>
    <row r="186" spans="2:9" x14ac:dyDescent="0.2">
      <c r="C186" s="429"/>
      <c r="D186" s="912"/>
      <c r="E186" s="922" t="str">
        <f>IF(COUNT(E178,E180)=2,IF(E178&lt;E180,C178,C180),"")</f>
        <v>Andres Veski</v>
      </c>
      <c r="F186" s="702"/>
      <c r="G186" s="919">
        <v>0</v>
      </c>
      <c r="H186" s="886"/>
    </row>
    <row r="187" spans="2:9" ht="13.5" thickBot="1" x14ac:dyDescent="0.25">
      <c r="C187" s="429"/>
      <c r="D187" s="912"/>
      <c r="E187" s="929"/>
      <c r="F187" s="930"/>
      <c r="G187" s="931"/>
      <c r="H187" s="922" t="str">
        <f>IF(COUNT(G186,G188)=2,IF(G186&gt;G188,E186,E188),"")</f>
        <v>Mikk Rooden</v>
      </c>
    </row>
    <row r="188" spans="2:9" x14ac:dyDescent="0.2">
      <c r="C188" s="429"/>
      <c r="D188" s="912"/>
      <c r="E188" s="932" t="str">
        <f>IF(COUNT(E182,E184)=2,IF(E182&lt;E184,C182,C184),"")</f>
        <v>Mikk Rooden</v>
      </c>
      <c r="F188" s="925"/>
      <c r="G188" s="916">
        <v>13</v>
      </c>
      <c r="H188" s="883" t="s">
        <v>556</v>
      </c>
      <c r="I188" s="924"/>
    </row>
    <row r="189" spans="2:9" x14ac:dyDescent="0.2">
      <c r="C189" s="429"/>
      <c r="D189" s="702"/>
      <c r="E189" s="702"/>
      <c r="F189" s="702"/>
      <c r="G189" s="702"/>
      <c r="H189" s="886"/>
      <c r="I189" s="926"/>
    </row>
    <row r="190" spans="2:9" ht="13.5" thickBot="1" x14ac:dyDescent="0.25">
      <c r="C190" s="429"/>
      <c r="D190" s="702"/>
      <c r="E190" s="886"/>
      <c r="F190" s="886"/>
      <c r="G190" s="702"/>
      <c r="H190" s="885" t="str">
        <f>IF(COUNT(G186,G188)=2,IF(G186&lt;G188,E186,E188),"")</f>
        <v>Andres Veski</v>
      </c>
      <c r="I190" s="928"/>
    </row>
    <row r="191" spans="2:9" x14ac:dyDescent="0.2">
      <c r="C191" s="429"/>
      <c r="D191" s="702"/>
      <c r="E191" s="886"/>
      <c r="F191" s="886"/>
      <c r="G191" s="702"/>
      <c r="H191" s="742" t="s">
        <v>557</v>
      </c>
    </row>
    <row r="192" spans="2:9"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hidden="1" x14ac:dyDescent="0.2"/>
    <row r="226" hidden="1" x14ac:dyDescent="0.2"/>
    <row r="227" hidden="1" x14ac:dyDescent="0.2"/>
    <row r="228" hidden="1" x14ac:dyDescent="0.2"/>
    <row r="229" hidden="1" x14ac:dyDescent="0.2"/>
    <row r="230" hidden="1" x14ac:dyDescent="0.2"/>
    <row r="231" hidden="1" x14ac:dyDescent="0.2"/>
    <row r="232" hidden="1" x14ac:dyDescent="0.2"/>
    <row r="233" hidden="1" x14ac:dyDescent="0.2"/>
    <row r="234" hidden="1" x14ac:dyDescent="0.2"/>
    <row r="235" hidden="1" x14ac:dyDescent="0.2"/>
    <row r="236" hidden="1" x14ac:dyDescent="0.2"/>
    <row r="237" hidden="1" x14ac:dyDescent="0.2"/>
    <row r="238" hidden="1" x14ac:dyDescent="0.2"/>
    <row r="239" hidden="1" x14ac:dyDescent="0.2"/>
    <row r="240" hidden="1" x14ac:dyDescent="0.2"/>
    <row r="241" hidden="1" x14ac:dyDescent="0.2"/>
    <row r="242" hidden="1" x14ac:dyDescent="0.2"/>
    <row r="243" hidden="1" x14ac:dyDescent="0.2"/>
    <row r="244" hidden="1" x14ac:dyDescent="0.2"/>
    <row r="245" hidden="1" x14ac:dyDescent="0.2"/>
    <row r="246" hidden="1" x14ac:dyDescent="0.2"/>
    <row r="247" hidden="1" x14ac:dyDescent="0.2"/>
    <row r="248" hidden="1" x14ac:dyDescent="0.2"/>
    <row r="249" hidden="1" x14ac:dyDescent="0.2"/>
    <row r="250" hidden="1" x14ac:dyDescent="0.2"/>
    <row r="251" hidden="1" x14ac:dyDescent="0.2"/>
    <row r="252" hidden="1" x14ac:dyDescent="0.2"/>
    <row r="253" hidden="1" x14ac:dyDescent="0.2"/>
    <row r="254" hidden="1" x14ac:dyDescent="0.2"/>
    <row r="255" hidden="1" x14ac:dyDescent="0.2"/>
    <row r="256" hidden="1" x14ac:dyDescent="0.2"/>
    <row r="257" hidden="1" x14ac:dyDescent="0.2"/>
    <row r="258" hidden="1" x14ac:dyDescent="0.2"/>
    <row r="259" hidden="1" x14ac:dyDescent="0.2"/>
    <row r="260" hidden="1" x14ac:dyDescent="0.2"/>
    <row r="261" hidden="1" x14ac:dyDescent="0.2"/>
    <row r="262" hidden="1" x14ac:dyDescent="0.2"/>
    <row r="263" hidden="1" x14ac:dyDescent="0.2"/>
    <row r="264" hidden="1" x14ac:dyDescent="0.2"/>
    <row r="265" hidden="1" x14ac:dyDescent="0.2"/>
    <row r="266" hidden="1" x14ac:dyDescent="0.2"/>
    <row r="267" hidden="1" x14ac:dyDescent="0.2"/>
    <row r="268" hidden="1" x14ac:dyDescent="0.2"/>
    <row r="269" hidden="1" x14ac:dyDescent="0.2"/>
    <row r="270" hidden="1" x14ac:dyDescent="0.2"/>
    <row r="271" hidden="1" x14ac:dyDescent="0.2"/>
    <row r="272" hidden="1" x14ac:dyDescent="0.2"/>
    <row r="273" hidden="1" x14ac:dyDescent="0.2"/>
    <row r="274" hidden="1" x14ac:dyDescent="0.2"/>
    <row r="275" hidden="1" x14ac:dyDescent="0.2"/>
    <row r="276" hidden="1" x14ac:dyDescent="0.2"/>
    <row r="277" hidden="1" x14ac:dyDescent="0.2"/>
    <row r="278" hidden="1" x14ac:dyDescent="0.2"/>
    <row r="279" hidden="1" x14ac:dyDescent="0.2"/>
    <row r="280" hidden="1" x14ac:dyDescent="0.2"/>
    <row r="281" hidden="1" x14ac:dyDescent="0.2"/>
    <row r="282" hidden="1" x14ac:dyDescent="0.2"/>
    <row r="283" hidden="1" x14ac:dyDescent="0.2"/>
    <row r="284" hidden="1" x14ac:dyDescent="0.2"/>
    <row r="285" hidden="1" x14ac:dyDescent="0.2"/>
    <row r="286" hidden="1" x14ac:dyDescent="0.2"/>
    <row r="287" hidden="1" x14ac:dyDescent="0.2"/>
    <row r="288" hidden="1" x14ac:dyDescent="0.2"/>
    <row r="289" spans="1:3" hidden="1" x14ac:dyDescent="0.2"/>
    <row r="290" spans="1:3" hidden="1" x14ac:dyDescent="0.2"/>
    <row r="291" spans="1:3" hidden="1" x14ac:dyDescent="0.2"/>
    <row r="292" spans="1:3" hidden="1" x14ac:dyDescent="0.2"/>
    <row r="293" spans="1:3" hidden="1" x14ac:dyDescent="0.2"/>
    <row r="294" spans="1:3" hidden="1" x14ac:dyDescent="0.2"/>
    <row r="295" spans="1:3" hidden="1" x14ac:dyDescent="0.2"/>
    <row r="296" spans="1:3" hidden="1" x14ac:dyDescent="0.2"/>
    <row r="297" spans="1:3" hidden="1" x14ac:dyDescent="0.2"/>
    <row r="299" spans="1:3" x14ac:dyDescent="0.2">
      <c r="A299" s="652"/>
      <c r="B299" s="652"/>
      <c r="C299" s="646" t="s">
        <v>182</v>
      </c>
    </row>
    <row r="300" spans="1:3" x14ac:dyDescent="0.2">
      <c r="A300" s="699">
        <v>1</v>
      </c>
      <c r="B300" s="700" t="str">
        <f t="shared" ref="B300:B319" si="3">IFERROR(INDEX(H$100:H$300,MATCH(A300&amp;". koht",H$101:H$301,0)),"")</f>
        <v>Ivar Viljaste</v>
      </c>
      <c r="C300" s="711">
        <v>40</v>
      </c>
    </row>
    <row r="301" spans="1:3" x14ac:dyDescent="0.2">
      <c r="A301" s="699">
        <v>2</v>
      </c>
      <c r="B301" s="700" t="str">
        <f t="shared" si="3"/>
        <v>Oleg Rõndenkov</v>
      </c>
      <c r="C301" s="711">
        <v>34</v>
      </c>
    </row>
    <row r="302" spans="1:3" x14ac:dyDescent="0.2">
      <c r="A302" s="699">
        <v>3</v>
      </c>
      <c r="B302" s="700" t="str">
        <f t="shared" si="3"/>
        <v>Aarne Välja</v>
      </c>
      <c r="C302" s="711">
        <v>30</v>
      </c>
    </row>
    <row r="303" spans="1:3" x14ac:dyDescent="0.2">
      <c r="A303" s="699">
        <v>4</v>
      </c>
      <c r="B303" s="700" t="str">
        <f t="shared" si="3"/>
        <v>Jaan Sepp</v>
      </c>
      <c r="C303" s="711">
        <v>26</v>
      </c>
    </row>
    <row r="304" spans="1:3" x14ac:dyDescent="0.2">
      <c r="A304" s="699">
        <v>5</v>
      </c>
      <c r="B304" s="700" t="str">
        <f t="shared" si="3"/>
        <v>Elmo Lageda</v>
      </c>
      <c r="C304" s="711">
        <v>24</v>
      </c>
    </row>
    <row r="305" spans="1:3" x14ac:dyDescent="0.2">
      <c r="A305" s="699">
        <v>6</v>
      </c>
      <c r="B305" s="700" t="str">
        <f t="shared" si="3"/>
        <v>Janek Tarto</v>
      </c>
      <c r="C305" s="711">
        <v>22</v>
      </c>
    </row>
    <row r="306" spans="1:3" x14ac:dyDescent="0.2">
      <c r="A306" s="699">
        <v>7</v>
      </c>
      <c r="B306" s="700" t="str">
        <f t="shared" si="3"/>
        <v>Emil Murzajev</v>
      </c>
      <c r="C306" s="711">
        <v>20</v>
      </c>
    </row>
    <row r="307" spans="1:3" x14ac:dyDescent="0.2">
      <c r="A307" s="699">
        <v>8</v>
      </c>
      <c r="B307" s="700" t="str">
        <f t="shared" si="3"/>
        <v>Tõnu Piik</v>
      </c>
      <c r="C307" s="711">
        <v>18</v>
      </c>
    </row>
    <row r="308" spans="1:3" x14ac:dyDescent="0.2">
      <c r="A308" s="699">
        <v>9</v>
      </c>
      <c r="B308" s="700" t="str">
        <f t="shared" si="3"/>
        <v>Matti Vinni</v>
      </c>
      <c r="C308" s="711">
        <v>16</v>
      </c>
    </row>
    <row r="309" spans="1:3" x14ac:dyDescent="0.2">
      <c r="A309" s="699">
        <v>10</v>
      </c>
      <c r="B309" s="700" t="str">
        <f t="shared" si="3"/>
        <v>Andrei Grintšak</v>
      </c>
      <c r="C309" s="711">
        <v>14</v>
      </c>
    </row>
    <row r="310" spans="1:3" x14ac:dyDescent="0.2">
      <c r="A310" s="699">
        <v>11</v>
      </c>
      <c r="B310" s="700" t="str">
        <f t="shared" si="3"/>
        <v>Argo Sepp</v>
      </c>
      <c r="C310" s="711">
        <v>12</v>
      </c>
    </row>
    <row r="311" spans="1:3" x14ac:dyDescent="0.2">
      <c r="A311" s="699">
        <v>12</v>
      </c>
      <c r="B311" s="700" t="str">
        <f t="shared" si="3"/>
        <v>Boriss Klubov</v>
      </c>
      <c r="C311" s="711">
        <v>10</v>
      </c>
    </row>
    <row r="312" spans="1:3" x14ac:dyDescent="0.2">
      <c r="A312" s="699">
        <v>13</v>
      </c>
      <c r="B312" s="700" t="str">
        <f t="shared" si="3"/>
        <v>Oskar Sepp</v>
      </c>
      <c r="C312" s="711">
        <v>8</v>
      </c>
    </row>
    <row r="313" spans="1:3" x14ac:dyDescent="0.2">
      <c r="A313" s="699">
        <v>14</v>
      </c>
      <c r="B313" s="700" t="str">
        <f t="shared" si="3"/>
        <v>Marko Rooden</v>
      </c>
      <c r="C313" s="711">
        <v>6</v>
      </c>
    </row>
    <row r="314" spans="1:3" x14ac:dyDescent="0.2">
      <c r="A314" s="699">
        <v>15</v>
      </c>
      <c r="B314" s="700" t="str">
        <f t="shared" si="3"/>
        <v>Vello Vasser</v>
      </c>
      <c r="C314" s="711">
        <v>4</v>
      </c>
    </row>
    <row r="315" spans="1:3" x14ac:dyDescent="0.2">
      <c r="A315" s="699">
        <v>16</v>
      </c>
      <c r="B315" s="700" t="str">
        <f t="shared" si="3"/>
        <v>Tõnu Kapper</v>
      </c>
      <c r="C315" s="711">
        <v>2</v>
      </c>
    </row>
    <row r="316" spans="1:3" x14ac:dyDescent="0.2">
      <c r="A316" s="699">
        <v>17</v>
      </c>
      <c r="B316" s="700" t="str">
        <f t="shared" si="3"/>
        <v>Oksana Rõndenkova</v>
      </c>
      <c r="C316" s="711">
        <v>1</v>
      </c>
    </row>
    <row r="317" spans="1:3" x14ac:dyDescent="0.2">
      <c r="A317" s="699">
        <v>18</v>
      </c>
      <c r="B317" s="700" t="str">
        <f t="shared" si="3"/>
        <v>Liidia Põllu</v>
      </c>
      <c r="C317" s="711">
        <v>1</v>
      </c>
    </row>
    <row r="318" spans="1:3" x14ac:dyDescent="0.2">
      <c r="A318" s="699">
        <v>19</v>
      </c>
      <c r="B318" s="700" t="str">
        <f t="shared" si="3"/>
        <v>Mikk Rooden</v>
      </c>
      <c r="C318" s="711">
        <v>1</v>
      </c>
    </row>
    <row r="319" spans="1:3" x14ac:dyDescent="0.2">
      <c r="A319" s="699">
        <v>20</v>
      </c>
      <c r="B319" s="700" t="str">
        <f t="shared" si="3"/>
        <v>Andres Veski</v>
      </c>
      <c r="C319" s="711">
        <v>1</v>
      </c>
    </row>
  </sheetData>
  <conditionalFormatting sqref="AE7:AE11 AE14:AE18 AE21:AE25 AE28:AE32">
    <cfRule type="expression" dxfId="1205" priority="432">
      <formula>AND(AF7="",COUNTIF(AE7,"*,*")=0)</formula>
    </cfRule>
  </conditionalFormatting>
  <conditionalFormatting sqref="A300:A319">
    <cfRule type="duplicateValues" dxfId="1204" priority="431"/>
  </conditionalFormatting>
  <conditionalFormatting sqref="B300:B319">
    <cfRule type="expression" dxfId="1203" priority="426">
      <formula>A300=3</formula>
    </cfRule>
    <cfRule type="expression" dxfId="1202" priority="427">
      <formula>A300=2</formula>
    </cfRule>
    <cfRule type="expression" dxfId="1201" priority="428">
      <formula>A300=1</formula>
    </cfRule>
    <cfRule type="containsBlanks" dxfId="1200" priority="429">
      <formula>LEN(TRIM(B300))=0</formula>
    </cfRule>
    <cfRule type="duplicateValues" dxfId="1199" priority="430"/>
  </conditionalFormatting>
  <conditionalFormatting sqref="E178 E180">
    <cfRule type="containsBlanks" dxfId="1198" priority="424">
      <formula>LEN(TRIM(E178))=0</formula>
    </cfRule>
    <cfRule type="aboveAverage" dxfId="1197" priority="425"/>
  </conditionalFormatting>
  <conditionalFormatting sqref="E182 E184">
    <cfRule type="containsBlanks" dxfId="1196" priority="422">
      <formula>LEN(TRIM(E182))=0</formula>
    </cfRule>
    <cfRule type="aboveAverage" dxfId="1195" priority="423"/>
  </conditionalFormatting>
  <conditionalFormatting sqref="G186 G188">
    <cfRule type="containsBlanks" dxfId="1194" priority="418">
      <formula>LEN(TRIM(G186))=0</formula>
    </cfRule>
  </conditionalFormatting>
  <conditionalFormatting sqref="G186 G188">
    <cfRule type="aboveAverage" dxfId="1193" priority="419"/>
  </conditionalFormatting>
  <conditionalFormatting sqref="G179 G183">
    <cfRule type="containsBlanks" dxfId="1192" priority="420">
      <formula>LEN(TRIM(G179))=0</formula>
    </cfRule>
    <cfRule type="aboveAverage" dxfId="1191" priority="421"/>
  </conditionalFormatting>
  <conditionalFormatting sqref="D7 C8">
    <cfRule type="aboveAverage" dxfId="1190" priority="402"/>
  </conditionalFormatting>
  <conditionalFormatting sqref="E7 C9">
    <cfRule type="aboveAverage" dxfId="1189" priority="401"/>
  </conditionalFormatting>
  <conditionalFormatting sqref="F7 C10">
    <cfRule type="aboveAverage" dxfId="1188" priority="400"/>
  </conditionalFormatting>
  <conditionalFormatting sqref="E8 D9">
    <cfRule type="aboveAverage" dxfId="1187" priority="399"/>
  </conditionalFormatting>
  <conditionalFormatting sqref="G7 C11">
    <cfRule type="aboveAverage" dxfId="1186" priority="398"/>
  </conditionalFormatting>
  <conditionalFormatting sqref="F8 D10">
    <cfRule type="aboveAverage" dxfId="1185" priority="397"/>
  </conditionalFormatting>
  <conditionalFormatting sqref="G8 D11">
    <cfRule type="aboveAverage" dxfId="1184" priority="396"/>
  </conditionalFormatting>
  <conditionalFormatting sqref="F9 E10">
    <cfRule type="aboveAverage" dxfId="1183" priority="395"/>
  </conditionalFormatting>
  <conditionalFormatting sqref="G9 E11">
    <cfRule type="aboveAverage" dxfId="1182" priority="394"/>
  </conditionalFormatting>
  <conditionalFormatting sqref="F11 G10">
    <cfRule type="aboveAverage" dxfId="1181" priority="393"/>
  </conditionalFormatting>
  <conditionalFormatting sqref="D14 C15">
    <cfRule type="aboveAverage" dxfId="1180" priority="392"/>
  </conditionalFormatting>
  <conditionalFormatting sqref="E14 C16">
    <cfRule type="aboveAverage" dxfId="1179" priority="391"/>
  </conditionalFormatting>
  <conditionalFormatting sqref="F14 C17">
    <cfRule type="aboveAverage" dxfId="1178" priority="390"/>
  </conditionalFormatting>
  <conditionalFormatting sqref="E15 D16">
    <cfRule type="aboveAverage" dxfId="1177" priority="389"/>
  </conditionalFormatting>
  <conditionalFormatting sqref="G14 C18">
    <cfRule type="aboveAverage" dxfId="1176" priority="388"/>
  </conditionalFormatting>
  <conditionalFormatting sqref="F15 D17">
    <cfRule type="aboveAverage" dxfId="1175" priority="387"/>
  </conditionalFormatting>
  <conditionalFormatting sqref="G15 D18">
    <cfRule type="aboveAverage" dxfId="1174" priority="386"/>
  </conditionalFormatting>
  <conditionalFormatting sqref="F16 E17">
    <cfRule type="aboveAverage" dxfId="1173" priority="385"/>
  </conditionalFormatting>
  <conditionalFormatting sqref="G16 E18">
    <cfRule type="aboveAverage" dxfId="1172" priority="384"/>
  </conditionalFormatting>
  <conditionalFormatting sqref="F18 G17">
    <cfRule type="aboveAverage" dxfId="1171" priority="383"/>
  </conditionalFormatting>
  <conditionalFormatting sqref="D21 C22">
    <cfRule type="aboveAverage" dxfId="1170" priority="382"/>
  </conditionalFormatting>
  <conditionalFormatting sqref="E21 C23">
    <cfRule type="aboveAverage" dxfId="1169" priority="381"/>
  </conditionalFormatting>
  <conditionalFormatting sqref="F21 C24">
    <cfRule type="aboveAverage" dxfId="1168" priority="380"/>
  </conditionalFormatting>
  <conditionalFormatting sqref="E22 D23">
    <cfRule type="aboveAverage" dxfId="1167" priority="379"/>
  </conditionalFormatting>
  <conditionalFormatting sqref="G21 C25">
    <cfRule type="aboveAverage" dxfId="1166" priority="378"/>
  </conditionalFormatting>
  <conditionalFormatting sqref="F22 D24">
    <cfRule type="aboveAverage" dxfId="1165" priority="377"/>
  </conditionalFormatting>
  <conditionalFormatting sqref="G22 D25">
    <cfRule type="aboveAverage" dxfId="1164" priority="376"/>
  </conditionalFormatting>
  <conditionalFormatting sqref="F23 E24">
    <cfRule type="aboveAverage" dxfId="1163" priority="375"/>
  </conditionalFormatting>
  <conditionalFormatting sqref="G23 E25">
    <cfRule type="aboveAverage" dxfId="1162" priority="374"/>
  </conditionalFormatting>
  <conditionalFormatting sqref="F25 G24">
    <cfRule type="aboveAverage" dxfId="1161" priority="373"/>
  </conditionalFormatting>
  <conditionalFormatting sqref="D28 C29">
    <cfRule type="aboveAverage" dxfId="1160" priority="372"/>
  </conditionalFormatting>
  <conditionalFormatting sqref="E28 C30">
    <cfRule type="aboveAverage" dxfId="1159" priority="371"/>
  </conditionalFormatting>
  <conditionalFormatting sqref="F28 C31">
    <cfRule type="aboveAverage" dxfId="1158" priority="370"/>
  </conditionalFormatting>
  <conditionalFormatting sqref="E29 D30">
    <cfRule type="aboveAverage" dxfId="1157" priority="369"/>
  </conditionalFormatting>
  <conditionalFormatting sqref="G28 C32">
    <cfRule type="aboveAverage" dxfId="1156" priority="368"/>
  </conditionalFormatting>
  <conditionalFormatting sqref="F29 D31">
    <cfRule type="aboveAverage" dxfId="1155" priority="367"/>
  </conditionalFormatting>
  <conditionalFormatting sqref="G29 D32">
    <cfRule type="aboveAverage" dxfId="1154" priority="366"/>
  </conditionalFormatting>
  <conditionalFormatting sqref="F30 E31">
    <cfRule type="aboveAverage" dxfId="1153" priority="365"/>
  </conditionalFormatting>
  <conditionalFormatting sqref="G30 E32">
    <cfRule type="aboveAverage" dxfId="1152" priority="364"/>
  </conditionalFormatting>
  <conditionalFormatting sqref="F32 G31">
    <cfRule type="aboveAverage" dxfId="1151" priority="363"/>
  </conditionalFormatting>
  <conditionalFormatting sqref="I28:I32">
    <cfRule type="expression" dxfId="1150" priority="317">
      <formula>FIND(2,I28,1)</formula>
    </cfRule>
    <cfRule type="expression" dxfId="1149" priority="318">
      <formula>FIND(1,I28,1)</formula>
    </cfRule>
  </conditionalFormatting>
  <conditionalFormatting sqref="I21:I25">
    <cfRule type="expression" dxfId="1148" priority="319">
      <formula>FIND(2,I21,1)</formula>
    </cfRule>
    <cfRule type="expression" dxfId="1147" priority="320">
      <formula>FIND(1,I21,1)</formula>
    </cfRule>
  </conditionalFormatting>
  <conditionalFormatting sqref="I7:I11">
    <cfRule type="expression" dxfId="1146" priority="321">
      <formula>FIND(2,I7,1)</formula>
    </cfRule>
    <cfRule type="expression" dxfId="1145" priority="322">
      <formula>FIND(1,I7,1)</formula>
    </cfRule>
  </conditionalFormatting>
  <conditionalFormatting sqref="H14:H18">
    <cfRule type="expression" dxfId="1144" priority="253">
      <formula>AND(Q14=4,IF(COUNTIF(Q$14:Q$18,"=4")&gt;=2,TRUE))</formula>
    </cfRule>
    <cfRule type="expression" dxfId="1143" priority="403">
      <formula>AND(Q14=3,IF(COUNTIF(Q$14:Q$18,"=3")&gt;=2,TRUE))</formula>
    </cfRule>
    <cfRule type="expression" dxfId="1142" priority="404">
      <formula>AND(Q14=2,IF(COUNTIF(Q$14:Q$18,"=2")&gt;=2,TRUE))</formula>
    </cfRule>
    <cfRule type="expression" dxfId="1141" priority="405">
      <formula>AND(Q14=1,IF(COUNTIF(Q$14:Q$18,"=1")&gt;=2,TRUE))</formula>
    </cfRule>
  </conditionalFormatting>
  <conditionalFormatting sqref="B7:B33">
    <cfRule type="duplicateValues" dxfId="1140" priority="308"/>
  </conditionalFormatting>
  <conditionalFormatting sqref="L7:L11">
    <cfRule type="expression" dxfId="1139" priority="291">
      <formula>K7=0</formula>
    </cfRule>
    <cfRule type="expression" dxfId="1138" priority="300">
      <formula>IF(COUNTIF(J$7:J$11,"=2")=2,TRUE)</formula>
    </cfRule>
    <cfRule type="expression" dxfId="1137" priority="301">
      <formula>IF(COUNTIF(J$7:J$11,"=1")=2,TRUE)</formula>
    </cfRule>
    <cfRule type="expression" dxfId="1136" priority="302">
      <formula>AND(IF(COUNTIF(Q$7:Q$11,"=1")=2,TRUE),IF(COUNTIF(Q$7:Q$11,"=2")=2,TRUE))</formula>
    </cfRule>
    <cfRule type="expression" dxfId="1135" priority="303">
      <formula>AND(Q7=4,IF(COUNTIF(Q$7:Q$11,"=4")=1,TRUE))</formula>
    </cfRule>
    <cfRule type="expression" dxfId="1134" priority="304">
      <formula>AND(Q7=3,IF(COUNTIF(Q$7:Q$11,"=3")=1,TRUE))</formula>
    </cfRule>
    <cfRule type="expression" dxfId="1133" priority="305">
      <formula>AND(Q7=2,IF(COUNTIF(Q$7:Q$11,"=2")=1,TRUE))</formula>
    </cfRule>
    <cfRule type="expression" dxfId="1132" priority="306">
      <formula>AND(Q7=1,IF(COUNTIF(Q$7:Q$11,"=1")=1,TRUE))</formula>
    </cfRule>
    <cfRule type="expression" dxfId="1131" priority="307">
      <formula>OR(Q7=0,Q7=5)</formula>
    </cfRule>
  </conditionalFormatting>
  <conditionalFormatting sqref="O7:O11">
    <cfRule type="expression" dxfId="1130" priority="299">
      <formula>OR(AND(J7=1,K7=1,L7=0,M7=1),AND(J7=2,K7=2,L7=0,M7=2))</formula>
    </cfRule>
  </conditionalFormatting>
  <conditionalFormatting sqref="M7:M11">
    <cfRule type="expression" dxfId="1129" priority="292">
      <formula>AND(L7&gt;0,IF(COUNTIF(L$7:L$11,L7)&gt;1,TRUE,FALSE))</formula>
    </cfRule>
    <cfRule type="expression" dxfId="1128" priority="293">
      <formula>AND(IF(COUNTIF(R$7:R$11,"=1")=2,TRUE),IF(COUNTIF(R$7:R$11,"=2")=2,TRUE))</formula>
    </cfRule>
    <cfRule type="expression" dxfId="1127" priority="294">
      <formula>AND(R7=4,IF(COUNTIF(R$7:R$11,"=4")=1,TRUE))</formula>
    </cfRule>
    <cfRule type="expression" dxfId="1126" priority="295">
      <formula>AND(R7=3,IF(COUNTIF(R$7:R$11,"=3")=1,TRUE))</formula>
    </cfRule>
    <cfRule type="expression" dxfId="1125" priority="296">
      <formula>AND(R7=2,IF(COUNTIF(R$7:R$11,"=2")=1,TRUE))</formula>
    </cfRule>
    <cfRule type="expression" dxfId="1124" priority="297">
      <formula>AND(R7=1,IF(COUNTIF(R$7:R$11,"=1")=1,TRUE))</formula>
    </cfRule>
    <cfRule type="expression" dxfId="1123" priority="298">
      <formula>OR(R7=0,R7=5)</formula>
    </cfRule>
  </conditionalFormatting>
  <conditionalFormatting sqref="J7:J11">
    <cfRule type="expression" dxfId="1122" priority="287">
      <formula>AND(Q7=4,IF(COUNTIF(Q$7:Q$11,"=4")&gt;=2,TRUE))</formula>
    </cfRule>
    <cfRule type="expression" dxfId="1121" priority="288">
      <formula>AND(Q7=3,IF(COUNTIF(Q$7:Q$11,"=3")&gt;=2,TRUE))</formula>
    </cfRule>
    <cfRule type="expression" dxfId="1120" priority="289">
      <formula>AND(Q7=2,IF(COUNTIF(Q$7:Q$11,"=2")&gt;=2,TRUE))</formula>
    </cfRule>
    <cfRule type="expression" dxfId="1119" priority="290">
      <formula>AND(Q7=1,IF(COUNTIF(Q$7:Q$11,"=1")&gt;=2,TRUE))</formula>
    </cfRule>
  </conditionalFormatting>
  <conditionalFormatting sqref="H7:H11">
    <cfRule type="expression" dxfId="1118" priority="254">
      <formula>AND(Q7=4,IF(COUNTIF(Q$7:Q$11,"=4")&gt;=2,TRUE))</formula>
    </cfRule>
    <cfRule type="expression" dxfId="1117" priority="406">
      <formula>AND(Q7=3,IF(COUNTIF(Q$7:Q$11,"=3")&gt;=2,TRUE))</formula>
    </cfRule>
    <cfRule type="expression" dxfId="1116" priority="407">
      <formula>AND(Q7=2,IF(COUNTIF(Q$7:Q$11,"=2")&gt;=2,TRUE))</formula>
    </cfRule>
    <cfRule type="expression" dxfId="1115" priority="408">
      <formula>AND(Q7=1,IF(COUNTIF(Q$7:Q$11,"=1")&gt;=2,TRUE))</formula>
    </cfRule>
  </conditionalFormatting>
  <conditionalFormatting sqref="K7:K11">
    <cfRule type="expression" dxfId="1114" priority="409">
      <formula>AND(J7&gt;0,IF(COUNTIF(J$7:J$11,"=1")=2,TRUE),IF(COUNTIF(J$7:J$11,"=2")=2,TRUE))</formula>
    </cfRule>
    <cfRule type="expression" dxfId="1113" priority="410">
      <formula>IF(COUNTIF(L$7:L$11,"=2")=2,TRUE)</formula>
    </cfRule>
    <cfRule type="expression" dxfId="1112" priority="411">
      <formula>IF(COUNTIF(L$7:L$11,"=1")=2,TRUE)</formula>
    </cfRule>
    <cfRule type="expression" dxfId="1111" priority="412">
      <formula>AND(IF(COUNTIF(R$7:R$11,"=1")=2,TRUE),IF(COUNTIF(S$7:S$11,"=2")=2,TRUE))</formula>
    </cfRule>
    <cfRule type="expression" dxfId="1110" priority="413">
      <formula>AND(R7=4,IF(COUNTIF(R$7:R$11,"=4")=1,TRUE))</formula>
    </cfRule>
    <cfRule type="expression" dxfId="1109" priority="414">
      <formula>AND(R7=3,IF(COUNTIF(R$7:R$11,"=3")=1,TRUE))</formula>
    </cfRule>
    <cfRule type="expression" dxfId="1108" priority="415">
      <formula>AND(R7=2,IF(COUNTIF(R$7:R$11,"=2")=1,TRUE))</formula>
    </cfRule>
    <cfRule type="expression" dxfId="1107" priority="416">
      <formula>AND(R7=1,IF(COUNTIF(R$7:R$11,"=1")=1,TRUE))</formula>
    </cfRule>
    <cfRule type="expression" dxfId="1106" priority="417">
      <formula>OR(R7=0,R7=5)</formula>
    </cfRule>
  </conditionalFormatting>
  <conditionalFormatting sqref="I14:I18">
    <cfRule type="expression" dxfId="1105" priority="276">
      <formula>FIND(2,I14,1)</formula>
    </cfRule>
    <cfRule type="expression" dxfId="1104" priority="277">
      <formula>FIND(1,I14,1)</formula>
    </cfRule>
  </conditionalFormatting>
  <conditionalFormatting sqref="L14:L18">
    <cfRule type="expression" dxfId="1103" priority="259">
      <formula>K14=0</formula>
    </cfRule>
    <cfRule type="expression" dxfId="1102" priority="268">
      <formula>IF(COUNTIF(J$14:J$18,"=2")=2,TRUE)</formula>
    </cfRule>
    <cfRule type="expression" dxfId="1101" priority="269">
      <formula>IF(COUNTIF(J$14:J$18,"=1")=2,TRUE)</formula>
    </cfRule>
    <cfRule type="expression" dxfId="1100" priority="270">
      <formula>AND(IF(COUNTIF(Q$14:Q$18,"=1")=2,TRUE),IF(COUNTIF(Q$14:Q$18,"=2")=2,TRUE))</formula>
    </cfRule>
    <cfRule type="expression" dxfId="1099" priority="271">
      <formula>AND(Q14=4,IF(COUNTIF(Q$14:Q$18,"=4")=1,TRUE))</formula>
    </cfRule>
    <cfRule type="expression" dxfId="1098" priority="272">
      <formula>AND(Q14=3,IF(COUNTIF(Q$14:Q$18,"=3")=1,TRUE))</formula>
    </cfRule>
    <cfRule type="expression" dxfId="1097" priority="273">
      <formula>AND(Q14=2,IF(COUNTIF(Q$14:Q$18,"=2")=1,TRUE))</formula>
    </cfRule>
    <cfRule type="expression" dxfId="1096" priority="274">
      <formula>AND(Q14=1,IF(COUNTIF(Q$14:Q$18,"=1")=1,TRUE))</formula>
    </cfRule>
    <cfRule type="expression" dxfId="1095" priority="275">
      <formula>OR(Q14=0,Q14=5)</formula>
    </cfRule>
  </conditionalFormatting>
  <conditionalFormatting sqref="O14:O18">
    <cfRule type="expression" dxfId="1094" priority="267">
      <formula>OR(AND(J14=1,K14=1,L14=0,M14=1),AND(J14=2,K14=2,L14=0,M14=2))</formula>
    </cfRule>
  </conditionalFormatting>
  <conditionalFormatting sqref="M14:M18">
    <cfRule type="expression" dxfId="1093" priority="260">
      <formula>AND(L14&gt;0,IF(COUNTIF(L$14:L$18,L14)&gt;1,TRUE,FALSE))</formula>
    </cfRule>
    <cfRule type="expression" dxfId="1092" priority="261">
      <formula>AND(IF(COUNTIF(R$14:R$18,"=1")=2,TRUE),IF(COUNTIF(R$14:R$18,"=2")=2,TRUE))</formula>
    </cfRule>
    <cfRule type="expression" dxfId="1091" priority="262">
      <formula>AND(R14=4,IF(COUNTIF(R$14:R$18,"=4")=1,TRUE))</formula>
    </cfRule>
    <cfRule type="expression" dxfId="1090" priority="263">
      <formula>AND(R14=3,IF(COUNTIF(R$14:R$18,"=3")=1,TRUE))</formula>
    </cfRule>
    <cfRule type="expression" dxfId="1089" priority="264">
      <formula>AND(R14=2,IF(COUNTIF(R$14:R$18,"=2")=1,TRUE))</formula>
    </cfRule>
    <cfRule type="expression" dxfId="1088" priority="265">
      <formula>AND(R14=1,IF(COUNTIF(R$14:R$18,"=1")=1,TRUE))</formula>
    </cfRule>
    <cfRule type="expression" dxfId="1087" priority="266">
      <formula>OR(R14=0,R14=5)</formula>
    </cfRule>
  </conditionalFormatting>
  <conditionalFormatting sqref="J14:J18">
    <cfRule type="expression" dxfId="1086" priority="255">
      <formula>AND(Q14=4,IF(COUNTIF(Q$14:Q$18,"=4")&gt;=2,TRUE))</formula>
    </cfRule>
    <cfRule type="expression" dxfId="1085" priority="256">
      <formula>AND(Q14=3,IF(COUNTIF(Q$14:Q$18,"=3")&gt;=2,TRUE))</formula>
    </cfRule>
    <cfRule type="expression" dxfId="1084" priority="257">
      <formula>AND(Q14=2,IF(COUNTIF(Q$14:Q$18,"=2")&gt;=2,TRUE))</formula>
    </cfRule>
    <cfRule type="expression" dxfId="1083" priority="258">
      <formula>AND(Q14=1,IF(COUNTIF(Q$14:Q$18,"=1")&gt;=2,TRUE))</formula>
    </cfRule>
  </conditionalFormatting>
  <conditionalFormatting sqref="K14:K18">
    <cfRule type="expression" dxfId="1082" priority="278">
      <formula>AND(J14&gt;0,IF(COUNTIF(J$14:J$18,"=1")=2,TRUE),IF(COUNTIF(J$14:J$18,"=2")=2,TRUE))</formula>
    </cfRule>
    <cfRule type="expression" dxfId="1081" priority="279">
      <formula>IF(COUNTIF(L$14:L$18,"=2")=2,TRUE)</formula>
    </cfRule>
    <cfRule type="expression" dxfId="1080" priority="280">
      <formula>IF(COUNTIF(L$14:L$18,"=1")=2,TRUE)</formula>
    </cfRule>
    <cfRule type="expression" dxfId="1079" priority="281">
      <formula>AND(IF(COUNTIF(R$14:R$18,"=1")=2,TRUE),IF(COUNTIF(S$14:S$18,"=2")=2,TRUE))</formula>
    </cfRule>
    <cfRule type="expression" dxfId="1078" priority="282">
      <formula>AND(R14=4,IF(COUNTIF(R$14:R$18,"=4")=1,TRUE))</formula>
    </cfRule>
    <cfRule type="expression" dxfId="1077" priority="283">
      <formula>AND(R14=3,IF(COUNTIF(R$14:R$18,"=3")=1,TRUE))</formula>
    </cfRule>
    <cfRule type="expression" dxfId="1076" priority="284">
      <formula>AND(R14=2,IF(COUNTIF(R$14:R$18,"=2")=1,TRUE))</formula>
    </cfRule>
    <cfRule type="expression" dxfId="1075" priority="285">
      <formula>AND(R14=1,IF(COUNTIF(R$14:R$18,"=1")=1,TRUE))</formula>
    </cfRule>
    <cfRule type="expression" dxfId="1074" priority="286">
      <formula>OR(R14=0,R14=5)</formula>
    </cfRule>
  </conditionalFormatting>
  <conditionalFormatting sqref="L21:L25">
    <cfRule type="expression" dxfId="1073" priority="227">
      <formula>K21=0</formula>
    </cfRule>
    <cfRule type="expression" dxfId="1072" priority="236">
      <formula>IF(COUNTIF(J$21:J$25,"=2")=2,TRUE)</formula>
    </cfRule>
    <cfRule type="expression" dxfId="1071" priority="237">
      <formula>IF(COUNTIF(J$21:J$25,"=1")=2,TRUE)</formula>
    </cfRule>
    <cfRule type="expression" dxfId="1070" priority="238">
      <formula>AND(IF(COUNTIF(Q$21:Q$25,"=1")=2,TRUE),IF(COUNTIF(Q$21:Q$25,"=2")=2,TRUE))</formula>
    </cfRule>
    <cfRule type="expression" dxfId="1069" priority="239">
      <formula>AND(Q21=4,IF(COUNTIF(Q$21:Q$25,"=4")=1,TRUE))</formula>
    </cfRule>
    <cfRule type="expression" dxfId="1068" priority="240">
      <formula>AND(Q21=3,IF(COUNTIF(Q$21:Q$25,"=3")=1,TRUE))</formula>
    </cfRule>
    <cfRule type="expression" dxfId="1067" priority="241">
      <formula>AND(Q21=2,IF(COUNTIF(Q$21:Q$25,"=2")=1,TRUE))</formula>
    </cfRule>
    <cfRule type="expression" dxfId="1066" priority="242">
      <formula>AND(Q21=1,IF(COUNTIF(Q$21:Q$25,"=1")=1,TRUE))</formula>
    </cfRule>
    <cfRule type="expression" dxfId="1065" priority="243">
      <formula>OR(Q21=0,Q21=5)</formula>
    </cfRule>
  </conditionalFormatting>
  <conditionalFormatting sqref="O21:O25">
    <cfRule type="expression" dxfId="1064" priority="235">
      <formula>OR(AND(J21=1,K21=1,L21=0,M21=1),AND(J21=2,K21=2,L21=0,M21=2))</formula>
    </cfRule>
  </conditionalFormatting>
  <conditionalFormatting sqref="M21:M25">
    <cfRule type="expression" dxfId="1063" priority="228">
      <formula>AND(L21&gt;0,IF(COUNTIF(L$21:L$25,L21)&gt;1,TRUE,FALSE))</formula>
    </cfRule>
    <cfRule type="expression" dxfId="1062" priority="229">
      <formula>AND(IF(COUNTIF(R$21:R$25,"=1")=2,TRUE),IF(COUNTIF(R$21:R$25,"=2")=2,TRUE))</formula>
    </cfRule>
    <cfRule type="expression" dxfId="1061" priority="230">
      <formula>AND(R21=4,IF(COUNTIF(R$21:R$25,"=4")=1,TRUE))</formula>
    </cfRule>
    <cfRule type="expression" dxfId="1060" priority="231">
      <formula>AND(R21=3,IF(COUNTIF(R$21:R$25,"=3")=1,TRUE))</formula>
    </cfRule>
    <cfRule type="expression" dxfId="1059" priority="232">
      <formula>AND(R21=2,IF(COUNTIF(R$21:R$25,"=2")=1,TRUE))</formula>
    </cfRule>
    <cfRule type="expression" dxfId="1058" priority="233">
      <formula>AND(R21=1,IF(COUNTIF(R$21:R$25,"=1")=1,TRUE))</formula>
    </cfRule>
    <cfRule type="expression" dxfId="1057" priority="234">
      <formula>OR(R21=0,R21=5)</formula>
    </cfRule>
  </conditionalFormatting>
  <conditionalFormatting sqref="J21:J25">
    <cfRule type="expression" dxfId="1056" priority="223">
      <formula>AND(Q21=4,IF(COUNTIF(Q$21:Q$25,"=4")&gt;=2,TRUE))</formula>
    </cfRule>
    <cfRule type="expression" dxfId="1055" priority="224">
      <formula>AND(Q21=3,IF(COUNTIF(Q$21:Q$25,"=3")&gt;=2,TRUE))</formula>
    </cfRule>
    <cfRule type="expression" dxfId="1054" priority="225">
      <formula>AND(Q21=2,IF(COUNTIF(Q$21:Q$25,"=2")&gt;=2,TRUE))</formula>
    </cfRule>
    <cfRule type="expression" dxfId="1053" priority="226">
      <formula>AND(Q21=1,IF(COUNTIF(Q$21:Q$25,"=1")&gt;=2,TRUE))</formula>
    </cfRule>
  </conditionalFormatting>
  <conditionalFormatting sqref="K21:K25">
    <cfRule type="expression" dxfId="1052" priority="244">
      <formula>AND(J21&gt;0,IF(COUNTIF(J$21:J$25,"=1")=2,TRUE),IF(COUNTIF(J$21:J$25,"=2")=2,TRUE))</formula>
    </cfRule>
    <cfRule type="expression" dxfId="1051" priority="245">
      <formula>IF(COUNTIF(L$21:L$25,"=2")=2,TRUE)</formula>
    </cfRule>
    <cfRule type="expression" dxfId="1050" priority="246">
      <formula>IF(COUNTIF(L$21:L$25,"=1")=2,TRUE)</formula>
    </cfRule>
    <cfRule type="expression" dxfId="1049" priority="247">
      <formula>AND(IF(COUNTIF(R$21:R$25,"=1")=2,TRUE),IF(COUNTIF(S$21:S$25,"=2")=2,TRUE))</formula>
    </cfRule>
    <cfRule type="expression" dxfId="1048" priority="248">
      <formula>AND(R21=4,IF(COUNTIF(R$21:R$25,"=4")=1,TRUE))</formula>
    </cfRule>
    <cfRule type="expression" dxfId="1047" priority="249">
      <formula>AND(R21=3,IF(COUNTIF(R$21:R$25,"=3")=1,TRUE))</formula>
    </cfRule>
    <cfRule type="expression" dxfId="1046" priority="250">
      <formula>AND(R21=2,IF(COUNTIF(R$21:R$25,"=2")=1,TRUE))</formula>
    </cfRule>
    <cfRule type="expression" dxfId="1045" priority="251">
      <formula>AND(R21=1,IF(COUNTIF(R$21:R$25,"=1")=1,TRUE))</formula>
    </cfRule>
    <cfRule type="expression" dxfId="1044" priority="252">
      <formula>OR(R21=0,R21=5)</formula>
    </cfRule>
  </conditionalFormatting>
  <conditionalFormatting sqref="H21:H25">
    <cfRule type="expression" dxfId="1043" priority="219">
      <formula>AND(Q21=4,IF(COUNTIF(Q$21:Q$25,"=4")&gt;=2,TRUE))</formula>
    </cfRule>
    <cfRule type="expression" dxfId="1042" priority="220">
      <formula>AND(Q21=3,IF(COUNTIF(Q$21:Q$25,"=3")&gt;=2,TRUE))</formula>
    </cfRule>
    <cfRule type="expression" dxfId="1041" priority="221">
      <formula>AND(Q21=2,IF(COUNTIF(Q$21:Q$25,"=2")&gt;=2,TRUE))</formula>
    </cfRule>
    <cfRule type="expression" dxfId="1040" priority="222">
      <formula>AND(Q21=1,IF(COUNTIF(Q$21:Q$25,"=1")&gt;=2,TRUE))</formula>
    </cfRule>
  </conditionalFormatting>
  <conditionalFormatting sqref="L28:L32">
    <cfRule type="expression" dxfId="1039" priority="193">
      <formula>K28=0</formula>
    </cfRule>
    <cfRule type="expression" dxfId="1038" priority="202">
      <formula>IF(COUNTIF(J$28:J$32,"=2")=2,TRUE)</formula>
    </cfRule>
    <cfRule type="expression" dxfId="1037" priority="203">
      <formula>IF(COUNTIF(J$28:J$32,"=1")=2,TRUE)</formula>
    </cfRule>
    <cfRule type="expression" dxfId="1036" priority="204">
      <formula>AND(IF(COUNTIF(Q$28:Q$32,"=1")=2,TRUE),IF(COUNTIF(Q$28:Q$32,"=2")=2,TRUE))</formula>
    </cfRule>
    <cfRule type="expression" dxfId="1035" priority="205">
      <formula>AND(Q28=4,IF(COUNTIF(Q$28:Q$32,"=4")=1,TRUE))</formula>
    </cfRule>
    <cfRule type="expression" dxfId="1034" priority="206">
      <formula>AND(Q28=3,IF(COUNTIF(Q$28:Q$32,"=3")=1,TRUE))</formula>
    </cfRule>
    <cfRule type="expression" dxfId="1033" priority="207">
      <formula>AND(Q28=2,IF(COUNTIF(Q$28:Q$32,"=2")=1,TRUE))</formula>
    </cfRule>
    <cfRule type="expression" dxfId="1032" priority="208">
      <formula>AND(Q28=1,IF(COUNTIF(Q$28:Q$32,"=1")=1,TRUE))</formula>
    </cfRule>
    <cfRule type="expression" dxfId="1031" priority="209">
      <formula>OR(Q28=0,Q28=5)</formula>
    </cfRule>
  </conditionalFormatting>
  <conditionalFormatting sqref="O28:O32">
    <cfRule type="expression" dxfId="1030" priority="201">
      <formula>OR(AND(J28=1,K28=1,L28=0,M28=1),AND(J28=2,K28=2,L28=0,M28=2))</formula>
    </cfRule>
  </conditionalFormatting>
  <conditionalFormatting sqref="M28:M32">
    <cfRule type="expression" dxfId="1029" priority="194">
      <formula>AND(L28&gt;0,IF(COUNTIF(L$28:L$32,L28)&gt;1,TRUE,FALSE))</formula>
    </cfRule>
    <cfRule type="expression" dxfId="1028" priority="195">
      <formula>AND(IF(COUNTIF(R$28:R$32,"=1")=2,TRUE),IF(COUNTIF(R$28:R$32,"=2")=2,TRUE))</formula>
    </cfRule>
    <cfRule type="expression" dxfId="1027" priority="196">
      <formula>AND(R28=4,IF(COUNTIF(R$28:R$32,"=4")=1,TRUE))</formula>
    </cfRule>
    <cfRule type="expression" dxfId="1026" priority="197">
      <formula>AND(R28=3,IF(COUNTIF(R$28:R$32,"=3")=1,TRUE))</formula>
    </cfRule>
    <cfRule type="expression" dxfId="1025" priority="198">
      <formula>AND(R28=2,IF(COUNTIF(R$28:R$32,"=2")=1,TRUE))</formula>
    </cfRule>
    <cfRule type="expression" dxfId="1024" priority="199">
      <formula>AND(R28=1,IF(COUNTIF(R$28:R$32,"=1")=1,TRUE))</formula>
    </cfRule>
    <cfRule type="expression" dxfId="1023" priority="200">
      <formula>OR(R28=0,R28=5)</formula>
    </cfRule>
  </conditionalFormatting>
  <conditionalFormatting sqref="J28:J32">
    <cfRule type="expression" dxfId="1022" priority="189">
      <formula>AND(Q28=4,IF(COUNTIF(Q$28:Q$32,"=4")&gt;=2,TRUE))</formula>
    </cfRule>
    <cfRule type="expression" dxfId="1021" priority="190">
      <formula>AND(Q28=3,IF(COUNTIF(Q$28:Q$32,"=3")&gt;=2,TRUE))</formula>
    </cfRule>
    <cfRule type="expression" dxfId="1020" priority="191">
      <formula>AND(Q28=2,IF(COUNTIF(Q$28:Q$32,"=2")&gt;=2,TRUE))</formula>
    </cfRule>
    <cfRule type="expression" dxfId="1019" priority="192">
      <formula>AND(Q28=1,IF(COUNTIF(Q$28:Q$32,"=1")&gt;=2,TRUE))</formula>
    </cfRule>
  </conditionalFormatting>
  <conditionalFormatting sqref="K28:K32">
    <cfRule type="expression" dxfId="1018" priority="210">
      <formula>AND(J28&gt;0,IF(COUNTIF(J$28:J$32,"=1")=2,TRUE),IF(COUNTIF(J$28:J$32,"=2")=2,TRUE))</formula>
    </cfRule>
    <cfRule type="expression" dxfId="1017" priority="211">
      <formula>IF(COUNTIF(L$28:L$32,"=2")=2,TRUE)</formula>
    </cfRule>
    <cfRule type="expression" dxfId="1016" priority="212">
      <formula>IF(COUNTIF(L$28:L$32,"=1")=2,TRUE)</formula>
    </cfRule>
    <cfRule type="expression" dxfId="1015" priority="213">
      <formula>AND(IF(COUNTIF(R$28:R$32,"=1")=2,TRUE),IF(COUNTIF(S$28:S$32,"=2")=2,TRUE))</formula>
    </cfRule>
    <cfRule type="expression" dxfId="1014" priority="214">
      <formula>AND(R28=4,IF(COUNTIF(R$28:R$32,"=4")=1,TRUE))</formula>
    </cfRule>
    <cfRule type="expression" dxfId="1013" priority="215">
      <formula>AND(R28=3,IF(COUNTIF(R$28:R$32,"=3")=1,TRUE))</formula>
    </cfRule>
    <cfRule type="expression" dxfId="1012" priority="216">
      <formula>AND(R28=2,IF(COUNTIF(R$28:R$32,"=2")=1,TRUE))</formula>
    </cfRule>
    <cfRule type="expression" dxfId="1011" priority="217">
      <formula>AND(R28=1,IF(COUNTIF(R$28:R$32,"=1")=1,TRUE))</formula>
    </cfRule>
    <cfRule type="expression" dxfId="1010" priority="218">
      <formula>OR(R28=0,R28=5)</formula>
    </cfRule>
  </conditionalFormatting>
  <conditionalFormatting sqref="H28:H32">
    <cfRule type="expression" dxfId="1009" priority="185">
      <formula>AND(Q28=4,IF(COUNTIF(Q$28:Q$32,"=4")&gt;=2,TRUE))</formula>
    </cfRule>
    <cfRule type="expression" dxfId="1008" priority="186">
      <formula>AND(Q28=3,IF(COUNTIF(Q$28:Q$32,"=3")&gt;=2,TRUE))</formula>
    </cfRule>
    <cfRule type="expression" dxfId="1007" priority="187">
      <formula>AND(Q28=2,IF(COUNTIF(Q$28:Q$32,"=2")&gt;=2,TRUE))</formula>
    </cfRule>
    <cfRule type="expression" dxfId="1006" priority="188">
      <formula>AND(Q28=1,IF(COUNTIF(Q$28:Q$32,"=1")&gt;=2,TRUE))</formula>
    </cfRule>
  </conditionalFormatting>
  <conditionalFormatting sqref="C102 C104">
    <cfRule type="aboveAverage" dxfId="1005" priority="48"/>
  </conditionalFormatting>
  <conditionalFormatting sqref="C102 C104">
    <cfRule type="containsBlanks" dxfId="1004" priority="47">
      <formula>LEN(TRIM(C102))=0</formula>
    </cfRule>
  </conditionalFormatting>
  <conditionalFormatting sqref="E103 E107">
    <cfRule type="containsBlanks" dxfId="1003" priority="45">
      <formula>LEN(TRIM(E103))=0</formula>
    </cfRule>
    <cfRule type="aboveAverage" dxfId="1002" priority="46"/>
  </conditionalFormatting>
  <conditionalFormatting sqref="E111 E115">
    <cfRule type="containsBlanks" dxfId="1001" priority="43">
      <formula>LEN(TRIM(E111))=0</formula>
    </cfRule>
    <cfRule type="aboveAverage" dxfId="1000" priority="44"/>
  </conditionalFormatting>
  <conditionalFormatting sqref="C106 C108">
    <cfRule type="aboveAverage" dxfId="999" priority="42"/>
  </conditionalFormatting>
  <conditionalFormatting sqref="C106 C108">
    <cfRule type="containsBlanks" dxfId="998" priority="41">
      <formula>LEN(TRIM(C106))=0</formula>
    </cfRule>
  </conditionalFormatting>
  <conditionalFormatting sqref="C110 C112">
    <cfRule type="aboveAverage" dxfId="997" priority="40"/>
  </conditionalFormatting>
  <conditionalFormatting sqref="C110 C112">
    <cfRule type="containsBlanks" dxfId="996" priority="39">
      <formula>LEN(TRIM(C110))=0</formula>
    </cfRule>
  </conditionalFormatting>
  <conditionalFormatting sqref="C114 C116">
    <cfRule type="aboveAverage" dxfId="995" priority="38"/>
  </conditionalFormatting>
  <conditionalFormatting sqref="C114 C116">
    <cfRule type="containsBlanks" dxfId="994" priority="37">
      <formula>LEN(TRIM(C114))=0</formula>
    </cfRule>
  </conditionalFormatting>
  <conditionalFormatting sqref="G117 G119">
    <cfRule type="aboveAverage" dxfId="993" priority="36"/>
  </conditionalFormatting>
  <conditionalFormatting sqref="G117 G119">
    <cfRule type="containsBlanks" dxfId="992" priority="35">
      <formula>LEN(TRIM(G117))=0</formula>
    </cfRule>
  </conditionalFormatting>
  <conditionalFormatting sqref="G105 G113">
    <cfRule type="containsBlanks" dxfId="991" priority="33">
      <formula>LEN(TRIM(G105))=0</formula>
    </cfRule>
    <cfRule type="aboveAverage" dxfId="990" priority="34"/>
  </conditionalFormatting>
  <conditionalFormatting sqref="G124 G128">
    <cfRule type="containsBlanks" dxfId="989" priority="31">
      <formula>LEN(TRIM(G124))=0</formula>
    </cfRule>
    <cfRule type="aboveAverage" dxfId="988" priority="32"/>
  </conditionalFormatting>
  <conditionalFormatting sqref="E123 E125">
    <cfRule type="aboveAverage" dxfId="987" priority="30"/>
  </conditionalFormatting>
  <conditionalFormatting sqref="E123 E125">
    <cfRule type="containsBlanks" dxfId="986" priority="29">
      <formula>LEN(TRIM(E123))=0</formula>
    </cfRule>
  </conditionalFormatting>
  <conditionalFormatting sqref="E127 E129">
    <cfRule type="aboveAverage" dxfId="985" priority="28"/>
  </conditionalFormatting>
  <conditionalFormatting sqref="E127 E129">
    <cfRule type="containsBlanks" dxfId="984" priority="27">
      <formula>LEN(TRIM(E127))=0</formula>
    </cfRule>
  </conditionalFormatting>
  <conditionalFormatting sqref="G131 G133">
    <cfRule type="aboveAverage" dxfId="983" priority="26"/>
  </conditionalFormatting>
  <conditionalFormatting sqref="G131 G133">
    <cfRule type="containsBlanks" dxfId="982" priority="25">
      <formula>LEN(TRIM(G131))=0</formula>
    </cfRule>
  </conditionalFormatting>
  <conditionalFormatting sqref="C140 C142">
    <cfRule type="aboveAverage" dxfId="981" priority="24"/>
  </conditionalFormatting>
  <conditionalFormatting sqref="C140 C142">
    <cfRule type="containsBlanks" dxfId="980" priority="23">
      <formula>LEN(TRIM(C140))=0</formula>
    </cfRule>
  </conditionalFormatting>
  <conditionalFormatting sqref="E141 E145">
    <cfRule type="containsBlanks" dxfId="979" priority="21">
      <formula>LEN(TRIM(E141))=0</formula>
    </cfRule>
    <cfRule type="aboveAverage" dxfId="978" priority="22"/>
  </conditionalFormatting>
  <conditionalFormatting sqref="E149 E153">
    <cfRule type="containsBlanks" dxfId="977" priority="19">
      <formula>LEN(TRIM(E149))=0</formula>
    </cfRule>
    <cfRule type="aboveAverage" dxfId="976" priority="20"/>
  </conditionalFormatting>
  <conditionalFormatting sqref="C144 C146">
    <cfRule type="aboveAverage" dxfId="975" priority="18"/>
  </conditionalFormatting>
  <conditionalFormatting sqref="C144 C146">
    <cfRule type="containsBlanks" dxfId="974" priority="17">
      <formula>LEN(TRIM(C144))=0</formula>
    </cfRule>
  </conditionalFormatting>
  <conditionalFormatting sqref="C148 C150">
    <cfRule type="aboveAverage" dxfId="973" priority="16"/>
  </conditionalFormatting>
  <conditionalFormatting sqref="C148 C150">
    <cfRule type="containsBlanks" dxfId="972" priority="15">
      <formula>LEN(TRIM(C148))=0</formula>
    </cfRule>
  </conditionalFormatting>
  <conditionalFormatting sqref="C152 C154">
    <cfRule type="aboveAverage" dxfId="971" priority="14"/>
  </conditionalFormatting>
  <conditionalFormatting sqref="C152 C154">
    <cfRule type="containsBlanks" dxfId="970" priority="13">
      <formula>LEN(TRIM(C152))=0</formula>
    </cfRule>
  </conditionalFormatting>
  <conditionalFormatting sqref="G155 G157">
    <cfRule type="aboveAverage" dxfId="969" priority="12"/>
  </conditionalFormatting>
  <conditionalFormatting sqref="G155 G157">
    <cfRule type="containsBlanks" dxfId="968" priority="11">
      <formula>LEN(TRIM(G155))=0</formula>
    </cfRule>
  </conditionalFormatting>
  <conditionalFormatting sqref="G143 G151">
    <cfRule type="containsBlanks" dxfId="967" priority="9">
      <formula>LEN(TRIM(G143))=0</formula>
    </cfRule>
    <cfRule type="aboveAverage" dxfId="966" priority="10"/>
  </conditionalFormatting>
  <conditionalFormatting sqref="G162 G166">
    <cfRule type="containsBlanks" dxfId="965" priority="7">
      <formula>LEN(TRIM(G162))=0</formula>
    </cfRule>
    <cfRule type="aboveAverage" dxfId="964" priority="8"/>
  </conditionalFormatting>
  <conditionalFormatting sqref="E161 E163">
    <cfRule type="aboveAverage" dxfId="963" priority="6"/>
  </conditionalFormatting>
  <conditionalFormatting sqref="E161 E163">
    <cfRule type="containsBlanks" dxfId="962" priority="5">
      <formula>LEN(TRIM(E161))=0</formula>
    </cfRule>
  </conditionalFormatting>
  <conditionalFormatting sqref="E165 E167">
    <cfRule type="aboveAverage" dxfId="961" priority="4"/>
  </conditionalFormatting>
  <conditionalFormatting sqref="E165 E167">
    <cfRule type="containsBlanks" dxfId="960" priority="3">
      <formula>LEN(TRIM(E165))=0</formula>
    </cfRule>
  </conditionalFormatting>
  <conditionalFormatting sqref="G169 G171">
    <cfRule type="aboveAverage" dxfId="959" priority="2"/>
  </conditionalFormatting>
  <conditionalFormatting sqref="G169 G171">
    <cfRule type="containsBlanks" dxfId="958" priority="1">
      <formula>LEN(TRIM(G169))=0</formula>
    </cfRule>
  </conditionalFormatting>
  <pageMargins left="0.59055118110236227" right="0.39370078740157483" top="0.78740157480314965" bottom="0.39370078740157483" header="0.59055118110236227" footer="0"/>
  <pageSetup paperSize="9" fitToHeight="0" orientation="portrait" r:id="rId1"/>
  <headerFooter>
    <oddHeader>&amp;R&amp;9Page &amp;P of &amp;N</oddHeader>
  </headerFooter>
  <rowBreaks count="3" manualBreakCount="3">
    <brk id="98" max="16383" man="1"/>
    <brk id="136" max="16383" man="1"/>
    <brk id="17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5</vt:i4>
      </vt:variant>
    </vt:vector>
  </HeadingPairs>
  <TitlesOfParts>
    <vt:vector size="42" baseType="lpstr">
      <vt:lpstr>Kalend</vt:lpstr>
      <vt:lpstr>Kal E</vt:lpstr>
      <vt:lpstr>Reit</vt:lpstr>
      <vt:lpstr>A</vt:lpstr>
      <vt:lpstr>1</vt:lpstr>
      <vt:lpstr>2</vt:lpstr>
      <vt:lpstr>3</vt:lpstr>
      <vt:lpstr>4</vt:lpstr>
      <vt:lpstr>5</vt:lpstr>
      <vt:lpstr>KJ</vt:lpstr>
      <vt:lpstr>6</vt:lpstr>
      <vt:lpstr>7</vt:lpstr>
      <vt:lpstr>8</vt:lpstr>
      <vt:lpstr>9</vt:lpstr>
      <vt:lpstr>10</vt:lpstr>
      <vt:lpstr>11</vt:lpstr>
      <vt:lpstr>12</vt:lpstr>
      <vt:lpstr>13</vt:lpstr>
      <vt:lpstr>14</vt:lpstr>
      <vt:lpstr>V</vt:lpstr>
      <vt:lpstr>V1</vt:lpstr>
      <vt:lpstr>V2</vt:lpstr>
      <vt:lpstr>V3</vt:lpstr>
      <vt:lpstr>V4</vt:lpstr>
      <vt:lpstr>V5</vt:lpstr>
      <vt:lpstr>V6</vt:lpstr>
      <vt:lpstr>V7</vt:lpstr>
      <vt:lpstr>V8</vt:lpstr>
      <vt:lpstr>V9</vt:lpstr>
      <vt:lpstr>V10</vt:lpstr>
      <vt:lpstr>V-fin</vt:lpstr>
      <vt:lpstr>templ</vt:lpstr>
      <vt:lpstr>swiss-v</vt:lpstr>
      <vt:lpstr>swiss-k</vt:lpstr>
      <vt:lpstr>ETAPP</vt:lpstr>
      <vt:lpstr>PIV</vt:lpstr>
      <vt:lpstr>PVO</vt:lpstr>
      <vt:lpstr>V!Print_Area</vt:lpstr>
      <vt:lpstr>'Kal E'!Print_Titles</vt:lpstr>
      <vt:lpstr>Kalend!Print_Titles</vt:lpstr>
      <vt:lpstr>Reit!Print_Titles</vt:lpstr>
      <vt:lpstr>V!Print_Titles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dc:creator>
  <cp:lastModifiedBy>Robert</cp:lastModifiedBy>
  <cp:lastPrinted>2021-05-05T20:38:13Z</cp:lastPrinted>
  <dcterms:created xsi:type="dcterms:W3CDTF">2019-10-02T19:18:01Z</dcterms:created>
  <dcterms:modified xsi:type="dcterms:W3CDTF">2023-01-08T15:43:12Z</dcterms:modified>
</cp:coreProperties>
</file>